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tivite" sheetId="1" r:id="rId4"/>
    <sheet state="visible" name="Portefeuille" sheetId="2" r:id="rId5"/>
    <sheet state="visible" name="Dividendes" sheetId="3" r:id="rId6"/>
    <sheet state="visible" name="Repartition" sheetId="4" r:id="rId7"/>
    <sheet state="visible" name="HorsGoogleFinance" sheetId="5" r:id="rId8"/>
    <sheet state="visible" name="Parametres" sheetId="6" r:id="rId9"/>
  </sheets>
  <definedNames/>
  <calcPr/>
</workbook>
</file>

<file path=xl/sharedStrings.xml><?xml version="1.0" encoding="utf-8"?>
<sst xmlns="http://schemas.openxmlformats.org/spreadsheetml/2006/main" count="304" uniqueCount="146">
  <si>
    <t>Entreprise</t>
  </si>
  <si>
    <t>Code Google</t>
  </si>
  <si>
    <t>Date</t>
  </si>
  <si>
    <t>Quantité</t>
  </si>
  <si>
    <t>Type opération</t>
  </si>
  <si>
    <t>Compte</t>
  </si>
  <si>
    <t>Frais transaction</t>
  </si>
  <si>
    <t>Montant Unitaire (€)</t>
  </si>
  <si>
    <t>Montant Total</t>
  </si>
  <si>
    <t>Mois</t>
  </si>
  <si>
    <t>Année</t>
  </si>
  <si>
    <t>TotalEnergie</t>
  </si>
  <si>
    <t>EPA:TTE</t>
  </si>
  <si>
    <t>Achat</t>
  </si>
  <si>
    <t>Bourse Direct PEA</t>
  </si>
  <si>
    <t>Dividende</t>
  </si>
  <si>
    <t>Air Liquide</t>
  </si>
  <si>
    <t>EPA:AI</t>
  </si>
  <si>
    <t>Vente</t>
  </si>
  <si>
    <t>Danone</t>
  </si>
  <si>
    <t>EPA:BN</t>
  </si>
  <si>
    <t>Vodafone</t>
  </si>
  <si>
    <t>LON:VOD</t>
  </si>
  <si>
    <t>Boursorama CTO</t>
  </si>
  <si>
    <t>Microsoft</t>
  </si>
  <si>
    <t>MSFT</t>
  </si>
  <si>
    <t>McDonald's</t>
  </si>
  <si>
    <t>MCD</t>
  </si>
  <si>
    <t>Interactive Broker CTO</t>
  </si>
  <si>
    <t>BP</t>
  </si>
  <si>
    <t>LON:BP</t>
  </si>
  <si>
    <t>Allianz</t>
  </si>
  <si>
    <t>ETR:ALV</t>
  </si>
  <si>
    <t>Lynx Broker CTO</t>
  </si>
  <si>
    <t>Nestlé</t>
  </si>
  <si>
    <t>SWX:NESN</t>
  </si>
  <si>
    <t>Lyxor PEA Monde</t>
  </si>
  <si>
    <t>EPA:EWLD</t>
  </si>
  <si>
    <t>Solana</t>
  </si>
  <si>
    <t>CRY:SOL</t>
  </si>
  <si>
    <t>Coinbase</t>
  </si>
  <si>
    <t>Toyota</t>
  </si>
  <si>
    <t>TYO:7203</t>
  </si>
  <si>
    <t>Legrand</t>
  </si>
  <si>
    <t>EPA:LR</t>
  </si>
  <si>
    <t>Ligne dans Portefeuille</t>
  </si>
  <si>
    <t>Total Capital investi</t>
  </si>
  <si>
    <t>Valorisation Portefeuille</t>
  </si>
  <si>
    <t>Gain / Perte</t>
  </si>
  <si>
    <t>Perf sans Div</t>
  </si>
  <si>
    <t>Valorisation Portefeuille + Div</t>
  </si>
  <si>
    <t>Gain / Perte avec Dividende</t>
  </si>
  <si>
    <t>Perf avec Div</t>
  </si>
  <si>
    <t>Marché</t>
  </si>
  <si>
    <t>Secteur</t>
  </si>
  <si>
    <t>Devise</t>
  </si>
  <si>
    <t>Courtier</t>
  </si>
  <si>
    <t>Prix Unitaire</t>
  </si>
  <si>
    <t>% Portefeuille</t>
  </si>
  <si>
    <t>Capital Investi</t>
  </si>
  <si>
    <t>Cours (Monnaie)</t>
  </si>
  <si>
    <t xml:space="preserve"> Cours En €</t>
  </si>
  <si>
    <t>Valorisation</t>
  </si>
  <si>
    <t>Variation / PRU</t>
  </si>
  <si>
    <t>Performance</t>
  </si>
  <si>
    <t>Valorisation + Div</t>
  </si>
  <si>
    <t>Perf Avec Div</t>
  </si>
  <si>
    <t>France</t>
  </si>
  <si>
    <t>Energie</t>
  </si>
  <si>
    <t>Euros</t>
  </si>
  <si>
    <t>Biens de base</t>
  </si>
  <si>
    <t>UK</t>
  </si>
  <si>
    <t>Technologie de l'information</t>
  </si>
  <si>
    <t>Livre Sterling</t>
  </si>
  <si>
    <t>USA</t>
  </si>
  <si>
    <t>Dollars</t>
  </si>
  <si>
    <t>Allemagne</t>
  </si>
  <si>
    <t>Services financiers</t>
  </si>
  <si>
    <t>Suisse</t>
  </si>
  <si>
    <t>Franc Suisse</t>
  </si>
  <si>
    <t>Monde</t>
  </si>
  <si>
    <t>ETF</t>
  </si>
  <si>
    <t>Crypto</t>
  </si>
  <si>
    <t>Cryptomonnaie</t>
  </si>
  <si>
    <t>Toyota Motor</t>
  </si>
  <si>
    <t>Japon</t>
  </si>
  <si>
    <t>Biens non essentiels</t>
  </si>
  <si>
    <t>Yen</t>
  </si>
  <si>
    <t>Industrie</t>
  </si>
  <si>
    <t>Janvier</t>
  </si>
  <si>
    <t>Février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</si>
  <si>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</si>
  <si>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</si>
  <si>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</si>
  <si>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</si>
  <si>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</si>
  <si>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</si>
  <si>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</si>
  <si>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</si>
  <si>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</si>
  <si>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Décembre</t>
  </si>
  <si>
    <t>Total</t>
  </si>
  <si>
    <t>Entreprises</t>
  </si>
  <si>
    <t>Répartition par secteur</t>
  </si>
  <si>
    <t>Perf</t>
  </si>
  <si>
    <t>Perf + div</t>
  </si>
  <si>
    <t>Immobilier</t>
  </si>
  <si>
    <t>Matériaux de base</t>
  </si>
  <si>
    <t>Obligations</t>
  </si>
  <si>
    <t>OCPVM</t>
  </si>
  <si>
    <t>Santé</t>
  </si>
  <si>
    <t>Services aux collectivités</t>
  </si>
  <si>
    <t>Services de télécommunication</t>
  </si>
  <si>
    <t>Exposition Marché</t>
  </si>
  <si>
    <t>Montant</t>
  </si>
  <si>
    <t>Pourcentage</t>
  </si>
  <si>
    <t>Monnaie</t>
  </si>
  <si>
    <t>LISTE DES SECTEURS</t>
  </si>
  <si>
    <t>TYPE OPERATION</t>
  </si>
  <si>
    <t>CONVERTION DEVISE</t>
  </si>
  <si>
    <t>€</t>
  </si>
  <si>
    <t>EUR</t>
  </si>
  <si>
    <t>$</t>
  </si>
  <si>
    <t>USDEUR</t>
  </si>
  <si>
    <t>£ GBX</t>
  </si>
  <si>
    <t>GBPEUR</t>
  </si>
  <si>
    <t>CHF</t>
  </si>
  <si>
    <t>CHFEUR</t>
  </si>
  <si>
    <t>Saxo Banque CTO</t>
  </si>
  <si>
    <t>¥</t>
  </si>
  <si>
    <t>JPYEUR</t>
  </si>
  <si>
    <t>Yuan</t>
  </si>
  <si>
    <t>CNY</t>
  </si>
  <si>
    <t>CNYEUR</t>
  </si>
  <si>
    <t>Dollars Canadien</t>
  </si>
  <si>
    <t>$CAD</t>
  </si>
  <si>
    <t>CADEUR</t>
  </si>
  <si>
    <t>Dollars Australien</t>
  </si>
  <si>
    <t>$AUD</t>
  </si>
  <si>
    <t>AUDEUR</t>
  </si>
  <si>
    <t>Rouble</t>
  </si>
  <si>
    <t>₽</t>
  </si>
  <si>
    <t>RUBEUR</t>
  </si>
  <si>
    <t>Dollars Hong Kong</t>
  </si>
  <si>
    <t>HKD</t>
  </si>
  <si>
    <t>HKDEUR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</si>
</sst>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/mm/yyyy"/>
    <numFmt numFmtId="165" formatCode="#,##0.00\ [$€-1]"/>
    <numFmt numFmtId="166" formatCode="0.000"/>
    <numFmt numFmtId="167" formatCode="dd/mm"/>
  </numFmts>
  <fonts count="12">
    <font>
      <sz val="10.0"/>
      <color rgb="FF000000"/>
      <name val="Arial"/>
    </font>
    <font>
      <b/>
      <color rgb="FFFFFFFF"/>
      <name val="Arial"/>
    </font>
    <font>
      <color theme="1"/>
      <name val="Arial"/>
    </font>
    <font>
      <b/>
      <sz val="12.0"/>
      <color theme="1"/>
      <name val="Arial"/>
    </font>
    <font/>
    <font>
      <b/>
      <sz val="12.0"/>
      <color rgb="FFFFFFFF"/>
      <name val="Arial"/>
    </font>
    <font>
      <color rgb="FFFFFFFF"/>
      <name val="Arial"/>
    </font>
    <font>
      <b/>
      <color rgb="FF000000"/>
      <name val="Arial"/>
    </font>
    <font>
      <color rgb="FF000000"/>
      <name val="Arial"/>
    </font>
    <font>
      <color rgb="FFFFFFFF"/>
      <name val="Roboto"/>
    </font>
    <font>
      <sz val="12.0"/>
      <color rgb="FFFFFFFF"/>
      <name val="Arial"/>
    </font>
    <font>
      <color rgb="FF000000"/>
      <name val="Roboto"/>
    </font>
  </fonts>
  <fills count="7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B7E1CD"/>
        <bgColor rgb="FFB7E1CD"/>
      </patternFill>
    </fill>
    <fill>
      <patternFill patternType="solid">
        <fgColor rgb="FFF4C7C3"/>
        <bgColor rgb="FFF4C7C3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2" fontId="1" numFmtId="0" xfId="0" applyAlignment="1" applyFont="1">
      <alignment horizontal="center" vertical="bottom"/>
    </xf>
    <xf borderId="0" fillId="0" fontId="2" numFmtId="0" xfId="0" applyAlignment="1" applyFont="1">
      <alignment horizontal="center" readingOrder="0"/>
    </xf>
    <xf borderId="0" fillId="0" fontId="2" numFmtId="164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vertical="bottom"/>
    </xf>
    <xf borderId="0" fillId="2" fontId="1" numFmtId="2" xfId="0" applyAlignment="1" applyFont="1" applyNumberFormat="1">
      <alignment horizontal="center" readingOrder="0" vertical="bottom"/>
    </xf>
    <xf borderId="1" fillId="2" fontId="1" numFmtId="0" xfId="0" applyAlignment="1" applyBorder="1" applyFont="1">
      <alignment horizontal="center" readingOrder="0" shrinkToFit="0" vertical="bottom" wrapText="0"/>
    </xf>
    <xf borderId="0" fillId="0" fontId="2" numFmtId="0" xfId="0" applyAlignment="1" applyFont="1">
      <alignment vertical="bottom"/>
    </xf>
    <xf borderId="2" fillId="0" fontId="3" numFmtId="1" xfId="0" applyAlignment="1" applyBorder="1" applyFont="1" applyNumberFormat="1">
      <alignment horizontal="center" vertical="bottom"/>
    </xf>
    <xf borderId="3" fillId="0" fontId="4" numFmtId="0" xfId="0" applyBorder="1" applyFont="1"/>
    <xf borderId="2" fillId="0" fontId="2" numFmtId="4" xfId="0" applyAlignment="1" applyBorder="1" applyFont="1" applyNumberFormat="1">
      <alignment horizontal="center" vertical="bottom"/>
    </xf>
    <xf borderId="4" fillId="0" fontId="2" numFmtId="10" xfId="0" applyAlignment="1" applyBorder="1" applyFont="1" applyNumberFormat="1">
      <alignment horizontal="center" vertical="bottom"/>
    </xf>
    <xf borderId="0" fillId="0" fontId="5" numFmtId="4" xfId="0" applyAlignment="1" applyFont="1" applyNumberFormat="1">
      <alignment horizontal="center" vertical="bottom"/>
    </xf>
    <xf borderId="0" fillId="0" fontId="5" numFmtId="10" xfId="0" applyAlignment="1" applyFont="1" applyNumberFormat="1">
      <alignment horizontal="center" vertical="bottom"/>
    </xf>
    <xf borderId="0" fillId="0" fontId="6" numFmtId="165" xfId="0" applyAlignment="1" applyFont="1" applyNumberFormat="1">
      <alignment horizontal="center" vertical="bottom"/>
    </xf>
    <xf borderId="0" fillId="2" fontId="1" numFmtId="0" xfId="0" applyAlignment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0" fillId="2" fontId="1" numFmtId="166" xfId="0" applyAlignment="1" applyFont="1" applyNumberFormat="1">
      <alignment horizontal="center" readingOrder="0" vertical="center"/>
    </xf>
    <xf borderId="0" fillId="2" fontId="1" numFmtId="2" xfId="0" applyAlignment="1" applyFont="1" applyNumberFormat="1">
      <alignment horizontal="center" readingOrder="0" vertical="center"/>
    </xf>
    <xf borderId="0" fillId="0" fontId="6" numFmtId="0" xfId="0" applyAlignment="1" applyFont="1">
      <alignment vertical="bottom"/>
    </xf>
    <xf borderId="0" fillId="0" fontId="2" numFmtId="0" xfId="0" applyAlignment="1" applyFont="1">
      <alignment horizontal="center" readingOrder="0" vertical="bottom"/>
    </xf>
    <xf borderId="0" fillId="0" fontId="2" numFmtId="0" xfId="0" applyAlignment="1" applyFont="1">
      <alignment horizontal="center" vertical="bottom"/>
    </xf>
    <xf borderId="0" fillId="0" fontId="2" numFmtId="2" xfId="0" applyAlignment="1" applyFont="1" applyNumberFormat="1">
      <alignment horizontal="center" readingOrder="0" vertical="bottom"/>
    </xf>
    <xf borderId="0" fillId="0" fontId="2" numFmtId="10" xfId="0" applyAlignment="1" applyFont="1" applyNumberFormat="1">
      <alignment horizontal="center" vertical="bottom"/>
    </xf>
    <xf borderId="0" fillId="0" fontId="2" numFmtId="2" xfId="0" applyAlignment="1" applyFont="1" applyNumberFormat="1">
      <alignment horizontal="center" vertical="bottom"/>
    </xf>
    <xf borderId="0" fillId="3" fontId="2" numFmtId="2" xfId="0" applyAlignment="1" applyFill="1" applyFont="1" applyNumberFormat="1">
      <alignment horizontal="center" vertical="bottom"/>
    </xf>
    <xf borderId="0" fillId="3" fontId="2" numFmtId="10" xfId="0" applyAlignment="1" applyFont="1" applyNumberFormat="1">
      <alignment horizontal="center" vertical="bottom"/>
    </xf>
    <xf borderId="0" fillId="4" fontId="2" numFmtId="2" xfId="0" applyAlignment="1" applyFill="1" applyFont="1" applyNumberFormat="1">
      <alignment horizontal="center" vertical="bottom"/>
    </xf>
    <xf borderId="0" fillId="4" fontId="2" numFmtId="10" xfId="0" applyAlignment="1" applyFont="1" applyNumberFormat="1">
      <alignment horizontal="center" vertical="bottom"/>
    </xf>
    <xf borderId="0" fillId="0" fontId="2" numFmtId="10" xfId="0" applyAlignment="1" applyFont="1" applyNumberFormat="1">
      <alignment horizontal="center"/>
    </xf>
    <xf borderId="0" fillId="0" fontId="2" numFmtId="10" xfId="0" applyFont="1" applyNumberFormat="1"/>
    <xf borderId="1" fillId="2" fontId="6" numFmtId="0" xfId="0" applyAlignment="1" applyBorder="1" applyFont="1">
      <alignment vertical="bottom"/>
    </xf>
    <xf borderId="1" fillId="2" fontId="6" numFmtId="0" xfId="0" applyAlignment="1" applyBorder="1" applyFon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5" fontId="2" numFmtId="0" xfId="0" applyAlignment="1" applyBorder="1" applyFill="1" applyFont="1">
      <alignment vertical="bottom"/>
    </xf>
    <xf borderId="1" fillId="5" fontId="2" numFmtId="0" xfId="0" applyAlignment="1" applyBorder="1" applyFont="1">
      <alignment horizontal="center" vertical="bottom"/>
    </xf>
    <xf borderId="0" fillId="2" fontId="6" numFmtId="0" xfId="0" applyAlignment="1" applyFont="1">
      <alignment vertical="bottom"/>
    </xf>
    <xf borderId="0" fillId="2" fontId="6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1" fillId="2" fontId="1" numFmtId="0" xfId="0" applyAlignment="1" applyBorder="1" applyFont="1">
      <alignment horizontal="center" readingOrder="0" vertical="center"/>
    </xf>
    <xf borderId="1" fillId="2" fontId="5" numFmtId="0" xfId="0" applyAlignment="1" applyBorder="1" applyFont="1">
      <alignment horizontal="center" vertical="center"/>
    </xf>
    <xf borderId="1" fillId="0" fontId="2" numFmtId="4" xfId="0" applyAlignment="1" applyBorder="1" applyFont="1" applyNumberFormat="1">
      <alignment horizontal="right" vertical="bottom"/>
    </xf>
    <xf borderId="1" fillId="0" fontId="7" numFmtId="10" xfId="0" applyAlignment="1" applyBorder="1" applyFont="1" applyNumberFormat="1">
      <alignment horizontal="right" vertical="bottom"/>
    </xf>
    <xf borderId="1" fillId="0" fontId="8" numFmtId="10" xfId="0" applyAlignment="1" applyBorder="1" applyFont="1" applyNumberFormat="1">
      <alignment horizontal="right" vertical="bottom"/>
    </xf>
    <xf borderId="1" fillId="0" fontId="2" numFmtId="4" xfId="0" applyBorder="1" applyFont="1" applyNumberFormat="1"/>
    <xf borderId="1" fillId="0" fontId="2" numFmtId="10" xfId="0" applyBorder="1" applyFont="1" applyNumberFormat="1"/>
    <xf borderId="1" fillId="2" fontId="9" numFmtId="0" xfId="0" applyAlignment="1" applyBorder="1" applyFont="1">
      <alignment vertical="bottom"/>
    </xf>
    <xf borderId="1" fillId="2" fontId="6" numFmtId="0" xfId="0" applyAlignment="1" applyBorder="1" applyFont="1">
      <alignment readingOrder="0" vertical="bottom"/>
    </xf>
    <xf borderId="1" fillId="0" fontId="2" numFmtId="10" xfId="0" applyAlignment="1" applyBorder="1" applyFont="1" applyNumberFormat="1">
      <alignment horizontal="right" vertical="bottom"/>
    </xf>
    <xf borderId="0" fillId="2" fontId="10" numFmtId="0" xfId="0" applyAlignment="1" applyFont="1">
      <alignment horizontal="center" vertical="bottom"/>
    </xf>
    <xf borderId="0" fillId="0" fontId="2" numFmtId="2" xfId="0" applyAlignment="1" applyFont="1" applyNumberFormat="1">
      <alignment horizontal="right" vertical="bottom"/>
    </xf>
    <xf borderId="0" fillId="0" fontId="2" numFmtId="10" xfId="0" applyAlignment="1" applyFont="1" applyNumberFormat="1">
      <alignment horizontal="right" vertical="bottom"/>
    </xf>
    <xf borderId="0" fillId="0" fontId="8" numFmtId="10" xfId="0" applyAlignment="1" applyFont="1" applyNumberFormat="1">
      <alignment horizontal="right" vertical="bottom"/>
    </xf>
    <xf borderId="0" fillId="6" fontId="8" numFmtId="0" xfId="0" applyAlignment="1" applyFill="1" applyFont="1">
      <alignment vertical="bottom"/>
    </xf>
    <xf borderId="0" fillId="0" fontId="2" numFmtId="0" xfId="0" applyFont="1"/>
    <xf borderId="0" fillId="0" fontId="2" numFmtId="9" xfId="0" applyFont="1" applyNumberFormat="1"/>
    <xf borderId="0" fillId="0" fontId="2" numFmtId="167" xfId="0" applyFont="1" applyNumberFormat="1"/>
    <xf borderId="0" fillId="2" fontId="1" numFmtId="0" xfId="0" applyAlignment="1" applyFont="1">
      <alignment horizontal="center"/>
    </xf>
    <xf borderId="0" fillId="0" fontId="8" numFmtId="0" xfId="0" applyAlignment="1" applyFont="1">
      <alignment vertical="bottom"/>
    </xf>
    <xf borderId="0" fillId="0" fontId="2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11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8" numFmtId="0" xfId="0" applyAlignment="1" applyFont="1">
      <alignment readingOrder="0" vertical="bottom"/>
    </xf>
  </cellXfs>
  <cellStyles count="1">
    <cellStyle xfId="0" name="Normal" builtinId="0"/>
  </cellStyles>
  <dxfs count="5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  <dxf>
      <font/>
      <fill>
        <patternFill patternType="solid">
          <fgColor rgb="FFEFEFEF"/>
          <bgColor rgb="FFEFEFE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Dividende 2021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Dividendes!$A$2:$A$13</c:f>
            </c:strRef>
          </c:cat>
          <c:val>
            <c:numRef>
              <c:f>Dividendes!$B$2:$B$13</c:f>
              <c:numCache/>
            </c:numRef>
          </c:val>
        </c:ser>
        <c:axId val="987226486"/>
        <c:axId val="838276482"/>
      </c:barChart>
      <c:catAx>
        <c:axId val="9872264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838276482"/>
      </c:catAx>
      <c:valAx>
        <c:axId val="83827648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87226486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Dividende par Entreprise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tx>
            <c:strRef>
              <c:f>Dividendes!$B$17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Dividendes!$A$18:$A$30</c:f>
            </c:strRef>
          </c:cat>
          <c:val>
            <c:numRef>
              <c:f>Dividendes!$B$18:$B$30</c:f>
              <c:numCache/>
            </c:numRef>
          </c:val>
        </c:ser>
        <c:axId val="1471377781"/>
        <c:axId val="2050514395"/>
      </c:barChart>
      <c:catAx>
        <c:axId val="1471377781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Entreprises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050514395"/>
      </c:catAx>
      <c:valAx>
        <c:axId val="205051439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2021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471377781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Pt>
            <c:idx val="3"/>
            <c:spPr>
              <a:solidFill>
                <a:srgbClr val="34A853"/>
              </a:solidFill>
            </c:spPr>
          </c:dPt>
          <c:dPt>
            <c:idx val="4"/>
            <c:spPr>
              <a:solidFill>
                <a:srgbClr val="FF6D01"/>
              </a:solidFill>
            </c:spPr>
          </c:dPt>
          <c:dPt>
            <c:idx val="5"/>
            <c:spPr>
              <a:solidFill>
                <a:srgbClr val="46BDC6"/>
              </a:solidFill>
            </c:spPr>
          </c:dPt>
          <c:dPt>
            <c:idx val="6"/>
            <c:spPr>
              <a:solidFill>
                <a:srgbClr val="7BAAF7"/>
              </a:solidFill>
            </c:spPr>
          </c:dPt>
          <c:dPt>
            <c:idx val="7"/>
            <c:spPr>
              <a:solidFill>
                <a:srgbClr val="F07B72"/>
              </a:solidFill>
            </c:spPr>
          </c:dPt>
          <c:dPt>
            <c:idx val="8"/>
            <c:spPr>
              <a:solidFill>
                <a:srgbClr val="FCD04F"/>
              </a:solidFill>
            </c:spPr>
          </c:dPt>
          <c:dPt>
            <c:idx val="9"/>
            <c:spPr>
              <a:solidFill>
                <a:srgbClr val="71C287"/>
              </a:solidFill>
            </c:spPr>
          </c:dPt>
          <c:dPt>
            <c:idx val="10"/>
            <c:spPr>
              <a:solidFill>
                <a:srgbClr val="FF994D"/>
              </a:solidFill>
            </c:spPr>
          </c:dPt>
          <c:dPt>
            <c:idx val="11"/>
            <c:spPr>
              <a:solidFill>
                <a:srgbClr val="7ED1D7"/>
              </a:solidFill>
            </c:spPr>
          </c:dPt>
          <c:dPt>
            <c:idx val="12"/>
            <c:spPr>
              <a:solidFill>
                <a:srgbClr val="B3CEFB"/>
              </a:solidFill>
            </c:spPr>
          </c:dPt>
          <c:dPt>
            <c:idx val="13"/>
            <c:spPr>
              <a:solidFill>
                <a:srgbClr val="F7B4AE"/>
              </a:solidFill>
            </c:spPr>
          </c:dPt>
          <c:dPt>
            <c:idx val="14"/>
            <c:spPr>
              <a:solidFill>
                <a:srgbClr val="FDE49B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Repartition!$A$2:$A$16</c:f>
            </c:strRef>
          </c:cat>
          <c:val>
            <c:numRef>
              <c:f>Repartition!$C$2:$C$16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342900</xdr:colOff>
      <xdr:row>0</xdr:row>
      <xdr:rowOff>0</xdr:rowOff>
    </xdr:from>
    <xdr:ext cx="6372225" cy="3095625"/>
    <xdr:graphicFrame>
      <xdr:nvGraphicFramePr>
        <xdr:cNvPr id="1" name="Chart 1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4</xdr:col>
      <xdr:colOff>342900</xdr:colOff>
      <xdr:row>16</xdr:row>
      <xdr:rowOff>142875</xdr:rowOff>
    </xdr:from>
    <xdr:ext cx="6372225" cy="4791075"/>
    <xdr:graphicFrame>
      <xdr:nvGraphicFramePr>
        <xdr:cNvPr id="2" name="Chart 2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276225</xdr:colOff>
      <xdr:row>0</xdr:row>
      <xdr:rowOff>28575</xdr:rowOff>
    </xdr:from>
    <xdr:ext cx="4953000" cy="3057525"/>
    <xdr:graphicFrame>
      <xdr:nvGraphicFramePr>
        <xdr:cNvPr id="3" name="Chart 3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6.57"/>
    <col customWidth="1" min="2" max="2" width="15.29"/>
    <col customWidth="1" min="6" max="6" width="20.29"/>
    <col customWidth="1" min="7" max="7" width="16.57"/>
    <col customWidth="1" min="8" max="8" width="28.86"/>
    <col customWidth="1" min="9" max="9" width="18.0"/>
    <col customWidth="1" min="10" max="10" width="10.43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</row>
    <row r="2">
      <c r="A2" s="3" t="s">
        <v>11</v>
      </c>
      <c r="B2" s="3" t="s">
        <v>12</v>
      </c>
      <c r="C2" s="4">
        <v>44022.0</v>
      </c>
      <c r="D2" s="3">
        <v>10.0</v>
      </c>
      <c r="E2" s="3" t="s">
        <v>13</v>
      </c>
      <c r="F2" s="3" t="s">
        <v>14</v>
      </c>
      <c r="G2" s="3">
        <v>0.99</v>
      </c>
      <c r="H2" s="3">
        <v>35.14</v>
      </c>
      <c r="I2" s="5">
        <f t="shared" ref="I2:I4" si="1">IF((D2*H2)+G2 = 0,"",(D2*H2)+G2)</f>
        <v>352.39</v>
      </c>
      <c r="J2" s="6">
        <f t="shared" ref="J2:J1001" si="2">IF(C2 ="","",MONTH(C2))</f>
        <v>7</v>
      </c>
      <c r="K2" s="6">
        <f t="shared" ref="K2:K1001" si="3">IF(C2 ="","",YEAR(C2))</f>
        <v>2020</v>
      </c>
    </row>
    <row r="3">
      <c r="A3" s="3" t="s">
        <v>11</v>
      </c>
      <c r="B3" s="3" t="s">
        <v>12</v>
      </c>
      <c r="C3" s="4">
        <v>44022.0</v>
      </c>
      <c r="D3" s="3">
        <v>10.0</v>
      </c>
      <c r="E3" s="3" t="s">
        <v>15</v>
      </c>
      <c r="F3" s="3" t="s">
        <v>14</v>
      </c>
      <c r="G3" s="3">
        <v>0.0</v>
      </c>
      <c r="H3" s="3">
        <v>0.66</v>
      </c>
      <c r="I3" s="5">
        <f t="shared" si="1"/>
        <v>6.6</v>
      </c>
      <c r="J3" s="6">
        <f t="shared" si="2"/>
        <v>7</v>
      </c>
      <c r="K3" s="6">
        <f t="shared" si="3"/>
        <v>2020</v>
      </c>
    </row>
    <row r="4">
      <c r="A4" s="3" t="s">
        <v>16</v>
      </c>
      <c r="B4" s="3" t="s">
        <v>17</v>
      </c>
      <c r="C4" s="4">
        <v>44058.0</v>
      </c>
      <c r="D4" s="3">
        <v>30.0</v>
      </c>
      <c r="E4" s="3" t="s">
        <v>13</v>
      </c>
      <c r="F4" s="3" t="s">
        <v>14</v>
      </c>
      <c r="G4" s="3">
        <v>10.0</v>
      </c>
      <c r="H4" s="3">
        <v>125.04</v>
      </c>
      <c r="I4" s="5">
        <f t="shared" si="1"/>
        <v>3761.2</v>
      </c>
      <c r="J4" s="6">
        <f t="shared" si="2"/>
        <v>8</v>
      </c>
      <c r="K4" s="6">
        <f t="shared" si="3"/>
        <v>2020</v>
      </c>
    </row>
    <row r="5">
      <c r="A5" s="3" t="s">
        <v>16</v>
      </c>
      <c r="B5" s="3" t="s">
        <v>17</v>
      </c>
      <c r="C5" s="4">
        <v>44059.0</v>
      </c>
      <c r="D5" s="3">
        <v>10.0</v>
      </c>
      <c r="E5" s="3" t="s">
        <v>18</v>
      </c>
      <c r="F5" s="3" t="s">
        <v>14</v>
      </c>
      <c r="G5" s="3">
        <v>5.0</v>
      </c>
      <c r="H5" s="3">
        <v>127.05</v>
      </c>
      <c r="I5" s="5">
        <f>IF((D5*H5)-G5 = 0,"",(D5*H5)-G5)</f>
        <v>1265.5</v>
      </c>
      <c r="J5" s="6">
        <f t="shared" si="2"/>
        <v>8</v>
      </c>
      <c r="K5" s="6">
        <f t="shared" si="3"/>
        <v>2020</v>
      </c>
    </row>
    <row r="6">
      <c r="A6" s="3" t="s">
        <v>19</v>
      </c>
      <c r="B6" s="3" t="s">
        <v>20</v>
      </c>
      <c r="C6" s="4">
        <v>44099.0</v>
      </c>
      <c r="D6" s="3">
        <v>10.0</v>
      </c>
      <c r="E6" s="3" t="s">
        <v>13</v>
      </c>
      <c r="F6" s="3" t="s">
        <v>14</v>
      </c>
      <c r="G6" s="3">
        <v>2.0</v>
      </c>
      <c r="H6" s="3">
        <v>64.0</v>
      </c>
      <c r="I6" s="5">
        <f t="shared" ref="I6:I1001" si="4">IF((D6*H6)+G6 = 0,"",(D6*H6)+G6)</f>
        <v>642</v>
      </c>
      <c r="J6" s="6">
        <f t="shared" si="2"/>
        <v>9</v>
      </c>
      <c r="K6" s="6">
        <f t="shared" si="3"/>
        <v>2020</v>
      </c>
    </row>
    <row r="7">
      <c r="A7" s="3" t="s">
        <v>21</v>
      </c>
      <c r="B7" s="3" t="s">
        <v>22</v>
      </c>
      <c r="C7" s="4">
        <v>44208.0</v>
      </c>
      <c r="D7" s="3">
        <v>55.0</v>
      </c>
      <c r="E7" s="3" t="s">
        <v>13</v>
      </c>
      <c r="F7" s="3" t="s">
        <v>23</v>
      </c>
      <c r="G7" s="3">
        <v>20.0</v>
      </c>
      <c r="H7" s="3">
        <v>125.7</v>
      </c>
      <c r="I7" s="5">
        <f t="shared" si="4"/>
        <v>6933.5</v>
      </c>
      <c r="J7" s="6">
        <f t="shared" si="2"/>
        <v>1</v>
      </c>
      <c r="K7" s="6">
        <f t="shared" si="3"/>
        <v>2021</v>
      </c>
    </row>
    <row r="8">
      <c r="A8" s="3" t="s">
        <v>24</v>
      </c>
      <c r="B8" s="3" t="s">
        <v>25</v>
      </c>
      <c r="C8" s="4">
        <v>44232.0</v>
      </c>
      <c r="D8" s="3">
        <v>10.0</v>
      </c>
      <c r="E8" s="3" t="s">
        <v>13</v>
      </c>
      <c r="F8" s="3" t="s">
        <v>23</v>
      </c>
      <c r="G8" s="3">
        <v>9.0</v>
      </c>
      <c r="H8" s="3">
        <v>242.2</v>
      </c>
      <c r="I8" s="5">
        <f t="shared" si="4"/>
        <v>2431</v>
      </c>
      <c r="J8" s="6">
        <f t="shared" si="2"/>
        <v>2</v>
      </c>
      <c r="K8" s="6">
        <f t="shared" si="3"/>
        <v>2021</v>
      </c>
    </row>
    <row r="9">
      <c r="A9" s="3" t="s">
        <v>26</v>
      </c>
      <c r="B9" s="3" t="s">
        <v>27</v>
      </c>
      <c r="C9" s="4">
        <v>44258.0</v>
      </c>
      <c r="D9" s="3">
        <v>20.0</v>
      </c>
      <c r="E9" s="3" t="s">
        <v>13</v>
      </c>
      <c r="F9" s="3" t="s">
        <v>28</v>
      </c>
      <c r="G9" s="3">
        <v>9.0</v>
      </c>
      <c r="H9" s="3">
        <v>165.47</v>
      </c>
      <c r="I9" s="5">
        <f t="shared" si="4"/>
        <v>3318.4</v>
      </c>
      <c r="J9" s="6">
        <f t="shared" si="2"/>
        <v>3</v>
      </c>
      <c r="K9" s="6">
        <f t="shared" si="3"/>
        <v>2021</v>
      </c>
    </row>
    <row r="10">
      <c r="A10" s="3" t="s">
        <v>29</v>
      </c>
      <c r="B10" s="3" t="s">
        <v>30</v>
      </c>
      <c r="C10" s="4">
        <v>44301.0</v>
      </c>
      <c r="D10" s="3">
        <v>65.0</v>
      </c>
      <c r="E10" s="3" t="s">
        <v>13</v>
      </c>
      <c r="F10" s="3" t="s">
        <v>28</v>
      </c>
      <c r="G10" s="3">
        <v>20.0</v>
      </c>
      <c r="H10" s="3">
        <v>303.5</v>
      </c>
      <c r="I10" s="5">
        <f t="shared" si="4"/>
        <v>19747.5</v>
      </c>
      <c r="J10" s="6">
        <f t="shared" si="2"/>
        <v>4</v>
      </c>
      <c r="K10" s="6">
        <f t="shared" si="3"/>
        <v>2021</v>
      </c>
    </row>
    <row r="11">
      <c r="A11" s="3" t="s">
        <v>31</v>
      </c>
      <c r="B11" s="3" t="s">
        <v>32</v>
      </c>
      <c r="C11" s="4">
        <v>44357.0</v>
      </c>
      <c r="D11" s="3">
        <v>7.0</v>
      </c>
      <c r="E11" s="3" t="s">
        <v>13</v>
      </c>
      <c r="F11" s="3" t="s">
        <v>33</v>
      </c>
      <c r="G11" s="3">
        <v>5.0</v>
      </c>
      <c r="H11" s="3">
        <v>218.2</v>
      </c>
      <c r="I11" s="5">
        <f t="shared" si="4"/>
        <v>1532.4</v>
      </c>
      <c r="J11" s="6">
        <f t="shared" si="2"/>
        <v>6</v>
      </c>
      <c r="K11" s="6">
        <f t="shared" si="3"/>
        <v>2021</v>
      </c>
    </row>
    <row r="12">
      <c r="A12" s="3" t="s">
        <v>34</v>
      </c>
      <c r="B12" s="3" t="s">
        <v>35</v>
      </c>
      <c r="C12" s="4">
        <v>44378.0</v>
      </c>
      <c r="D12" s="3">
        <v>10.0</v>
      </c>
      <c r="E12" s="3" t="s">
        <v>13</v>
      </c>
      <c r="F12" s="3" t="s">
        <v>28</v>
      </c>
      <c r="G12" s="3">
        <v>18.0</v>
      </c>
      <c r="H12" s="3">
        <v>115.56</v>
      </c>
      <c r="I12" s="5">
        <f t="shared" si="4"/>
        <v>1173.6</v>
      </c>
      <c r="J12" s="6">
        <f t="shared" si="2"/>
        <v>7</v>
      </c>
      <c r="K12" s="6">
        <f t="shared" si="3"/>
        <v>2021</v>
      </c>
    </row>
    <row r="13">
      <c r="A13" s="3" t="s">
        <v>36</v>
      </c>
      <c r="B13" s="3" t="s">
        <v>37</v>
      </c>
      <c r="C13" s="4">
        <v>44378.0</v>
      </c>
      <c r="D13" s="3">
        <v>15.0</v>
      </c>
      <c r="E13" s="3" t="s">
        <v>13</v>
      </c>
      <c r="F13" s="3" t="s">
        <v>14</v>
      </c>
      <c r="G13" s="3">
        <v>2.0</v>
      </c>
      <c r="H13" s="3">
        <v>22.12</v>
      </c>
      <c r="I13" s="5">
        <f t="shared" si="4"/>
        <v>333.8</v>
      </c>
      <c r="J13" s="6">
        <f t="shared" si="2"/>
        <v>7</v>
      </c>
      <c r="K13" s="6">
        <f t="shared" si="3"/>
        <v>2021</v>
      </c>
    </row>
    <row r="14">
      <c r="A14" s="3" t="s">
        <v>38</v>
      </c>
      <c r="B14" s="3" t="s">
        <v>39</v>
      </c>
      <c r="C14" s="4">
        <v>44379.0</v>
      </c>
      <c r="D14" s="3">
        <v>30.0</v>
      </c>
      <c r="E14" s="3" t="s">
        <v>13</v>
      </c>
      <c r="F14" s="3" t="s">
        <v>40</v>
      </c>
      <c r="G14" s="3">
        <v>2.0</v>
      </c>
      <c r="H14" s="3">
        <v>26.35</v>
      </c>
      <c r="I14" s="5">
        <f t="shared" si="4"/>
        <v>792.5</v>
      </c>
      <c r="J14" s="6">
        <f t="shared" si="2"/>
        <v>7</v>
      </c>
      <c r="K14" s="6">
        <f t="shared" si="3"/>
        <v>2021</v>
      </c>
    </row>
    <row r="15">
      <c r="A15" s="3" t="s">
        <v>41</v>
      </c>
      <c r="B15" s="3" t="s">
        <v>42</v>
      </c>
      <c r="C15" s="4">
        <v>44380.0</v>
      </c>
      <c r="D15" s="3">
        <v>12.0</v>
      </c>
      <c r="E15" s="3" t="s">
        <v>13</v>
      </c>
      <c r="F15" s="3" t="s">
        <v>28</v>
      </c>
      <c r="G15" s="3">
        <v>10.0</v>
      </c>
      <c r="H15" s="3">
        <v>71.35</v>
      </c>
      <c r="I15" s="5">
        <f t="shared" si="4"/>
        <v>866.2</v>
      </c>
      <c r="J15" s="6">
        <f t="shared" si="2"/>
        <v>7</v>
      </c>
      <c r="K15" s="6">
        <f t="shared" si="3"/>
        <v>2021</v>
      </c>
    </row>
    <row r="16">
      <c r="A16" s="3" t="s">
        <v>26</v>
      </c>
      <c r="B16" s="3" t="s">
        <v>27</v>
      </c>
      <c r="C16" s="4">
        <v>44258.0</v>
      </c>
      <c r="D16" s="3">
        <v>20.0</v>
      </c>
      <c r="E16" s="3" t="s">
        <v>15</v>
      </c>
      <c r="F16" s="3" t="s">
        <v>28</v>
      </c>
      <c r="G16" s="3">
        <v>0.0</v>
      </c>
      <c r="H16" s="3">
        <v>1.09</v>
      </c>
      <c r="I16" s="5">
        <f t="shared" si="4"/>
        <v>21.8</v>
      </c>
      <c r="J16" s="6">
        <f t="shared" si="2"/>
        <v>3</v>
      </c>
      <c r="K16" s="6">
        <f t="shared" si="3"/>
        <v>2021</v>
      </c>
    </row>
    <row r="17">
      <c r="A17" s="3" t="s">
        <v>29</v>
      </c>
      <c r="B17" s="3" t="s">
        <v>30</v>
      </c>
      <c r="C17" s="4">
        <v>44301.0</v>
      </c>
      <c r="D17" s="3">
        <v>65.0</v>
      </c>
      <c r="E17" s="3" t="s">
        <v>15</v>
      </c>
      <c r="F17" s="3" t="s">
        <v>28</v>
      </c>
      <c r="G17" s="3">
        <v>0.0</v>
      </c>
      <c r="H17" s="3">
        <v>0.04</v>
      </c>
      <c r="I17" s="5">
        <f t="shared" si="4"/>
        <v>2.6</v>
      </c>
      <c r="J17" s="6">
        <f t="shared" si="2"/>
        <v>4</v>
      </c>
      <c r="K17" s="6">
        <f t="shared" si="3"/>
        <v>2021</v>
      </c>
    </row>
    <row r="18">
      <c r="A18" s="3" t="s">
        <v>31</v>
      </c>
      <c r="B18" s="3" t="s">
        <v>32</v>
      </c>
      <c r="C18" s="4">
        <v>44357.0</v>
      </c>
      <c r="D18" s="3">
        <v>7.0</v>
      </c>
      <c r="E18" s="3" t="s">
        <v>15</v>
      </c>
      <c r="F18" s="3" t="s">
        <v>33</v>
      </c>
      <c r="G18" s="3">
        <v>0.0</v>
      </c>
      <c r="H18" s="3">
        <v>9.6</v>
      </c>
      <c r="I18" s="5">
        <f t="shared" si="4"/>
        <v>67.2</v>
      </c>
      <c r="J18" s="6">
        <f t="shared" si="2"/>
        <v>6</v>
      </c>
      <c r="K18" s="6">
        <f t="shared" si="3"/>
        <v>2021</v>
      </c>
    </row>
    <row r="19">
      <c r="A19" s="3" t="s">
        <v>26</v>
      </c>
      <c r="B19" s="3" t="s">
        <v>27</v>
      </c>
      <c r="C19" s="4">
        <v>44357.0</v>
      </c>
      <c r="D19" s="3">
        <v>20.0</v>
      </c>
      <c r="E19" s="3" t="s">
        <v>15</v>
      </c>
      <c r="F19" s="3" t="s">
        <v>28</v>
      </c>
      <c r="G19" s="3">
        <v>0.0</v>
      </c>
      <c r="H19" s="3">
        <v>1.09</v>
      </c>
      <c r="I19" s="5">
        <f t="shared" si="4"/>
        <v>21.8</v>
      </c>
      <c r="J19" s="6">
        <f t="shared" si="2"/>
        <v>6</v>
      </c>
      <c r="K19" s="6">
        <f t="shared" si="3"/>
        <v>2021</v>
      </c>
    </row>
    <row r="20">
      <c r="A20" s="3" t="s">
        <v>34</v>
      </c>
      <c r="B20" s="3" t="s">
        <v>35</v>
      </c>
      <c r="C20" s="4">
        <v>44378.0</v>
      </c>
      <c r="D20" s="3">
        <v>10.0</v>
      </c>
      <c r="E20" s="3" t="s">
        <v>15</v>
      </c>
      <c r="F20" s="3" t="s">
        <v>28</v>
      </c>
      <c r="G20" s="3">
        <v>0.0</v>
      </c>
      <c r="H20" s="3">
        <v>2.53</v>
      </c>
      <c r="I20" s="5">
        <f t="shared" si="4"/>
        <v>25.3</v>
      </c>
      <c r="J20" s="6">
        <f t="shared" si="2"/>
        <v>7</v>
      </c>
      <c r="K20" s="6">
        <f t="shared" si="3"/>
        <v>2021</v>
      </c>
    </row>
    <row r="21">
      <c r="A21" s="3" t="s">
        <v>11</v>
      </c>
      <c r="B21" s="3" t="s">
        <v>12</v>
      </c>
      <c r="C21" s="4">
        <v>44387.0</v>
      </c>
      <c r="D21" s="3">
        <v>10.0</v>
      </c>
      <c r="E21" s="3" t="s">
        <v>15</v>
      </c>
      <c r="F21" s="3" t="s">
        <v>14</v>
      </c>
      <c r="G21" s="3">
        <v>0.0</v>
      </c>
      <c r="H21" s="3">
        <v>0.66</v>
      </c>
      <c r="I21" s="5">
        <f t="shared" si="4"/>
        <v>6.6</v>
      </c>
      <c r="J21" s="6">
        <f t="shared" si="2"/>
        <v>7</v>
      </c>
      <c r="K21" s="6">
        <f t="shared" si="3"/>
        <v>2021</v>
      </c>
    </row>
    <row r="22">
      <c r="A22" s="3" t="s">
        <v>43</v>
      </c>
      <c r="B22" s="3" t="s">
        <v>44</v>
      </c>
      <c r="C22" s="4">
        <v>44391.0</v>
      </c>
      <c r="D22" s="3">
        <v>10.0</v>
      </c>
      <c r="E22" s="3" t="s">
        <v>13</v>
      </c>
      <c r="F22" s="3" t="s">
        <v>23</v>
      </c>
      <c r="G22" s="3">
        <v>2.0</v>
      </c>
      <c r="H22" s="3">
        <v>91.35</v>
      </c>
      <c r="I22" s="5">
        <f t="shared" si="4"/>
        <v>915.5</v>
      </c>
      <c r="J22" s="6">
        <f t="shared" si="2"/>
        <v>7</v>
      </c>
      <c r="K22" s="6">
        <f t="shared" si="3"/>
        <v>2021</v>
      </c>
    </row>
    <row r="23">
      <c r="A23" s="3" t="s">
        <v>43</v>
      </c>
      <c r="B23" s="3" t="s">
        <v>44</v>
      </c>
      <c r="C23" s="4">
        <v>44391.0</v>
      </c>
      <c r="D23" s="3">
        <v>10.0</v>
      </c>
      <c r="E23" s="3" t="s">
        <v>15</v>
      </c>
      <c r="F23" s="3" t="s">
        <v>23</v>
      </c>
      <c r="G23" s="3">
        <v>0.0</v>
      </c>
      <c r="H23" s="3">
        <v>2.56</v>
      </c>
      <c r="I23" s="5">
        <f t="shared" si="4"/>
        <v>25.6</v>
      </c>
      <c r="J23" s="6">
        <f t="shared" si="2"/>
        <v>7</v>
      </c>
      <c r="K23" s="6">
        <f t="shared" si="3"/>
        <v>2021</v>
      </c>
    </row>
    <row r="24">
      <c r="A24" s="5"/>
      <c r="B24" s="5"/>
      <c r="C24" s="5"/>
      <c r="D24" s="5"/>
      <c r="E24" s="5"/>
      <c r="F24" s="3"/>
      <c r="G24" s="5"/>
      <c r="H24" s="5"/>
      <c r="I24" s="5" t="str">
        <f t="shared" si="4"/>
        <v/>
      </c>
      <c r="J24" s="6" t="str">
        <f t="shared" si="2"/>
        <v/>
      </c>
      <c r="K24" s="6" t="str">
        <f t="shared" si="3"/>
        <v/>
      </c>
    </row>
    <row r="25">
      <c r="A25" s="5"/>
      <c r="B25" s="5"/>
      <c r="C25" s="5"/>
      <c r="D25" s="5"/>
      <c r="E25" s="5"/>
      <c r="F25" s="3"/>
      <c r="G25" s="5"/>
      <c r="H25" s="5"/>
      <c r="I25" s="5" t="str">
        <f t="shared" si="4"/>
        <v/>
      </c>
      <c r="J25" s="6" t="str">
        <f t="shared" si="2"/>
        <v/>
      </c>
      <c r="K25" s="6" t="str">
        <f t="shared" si="3"/>
        <v/>
      </c>
    </row>
    <row r="26">
      <c r="A26" s="5"/>
      <c r="B26" s="5"/>
      <c r="C26" s="5"/>
      <c r="D26" s="5"/>
      <c r="E26" s="5"/>
      <c r="F26" s="3"/>
      <c r="G26" s="5"/>
      <c r="H26" s="5"/>
      <c r="I26" s="5" t="str">
        <f t="shared" si="4"/>
        <v/>
      </c>
      <c r="J26" s="6" t="str">
        <f t="shared" si="2"/>
        <v/>
      </c>
      <c r="K26" s="6" t="str">
        <f t="shared" si="3"/>
        <v/>
      </c>
    </row>
    <row r="27">
      <c r="A27" s="5"/>
      <c r="B27" s="5"/>
      <c r="C27" s="5"/>
      <c r="D27" s="5"/>
      <c r="E27" s="5"/>
      <c r="F27" s="3"/>
      <c r="G27" s="5"/>
      <c r="H27" s="5"/>
      <c r="I27" s="5" t="str">
        <f t="shared" si="4"/>
        <v/>
      </c>
      <c r="J27" s="6" t="str">
        <f t="shared" si="2"/>
        <v/>
      </c>
      <c r="K27" s="6" t="str">
        <f t="shared" si="3"/>
        <v/>
      </c>
    </row>
    <row r="28">
      <c r="A28" s="5"/>
      <c r="B28" s="5"/>
      <c r="C28" s="5"/>
      <c r="D28" s="5"/>
      <c r="E28" s="5"/>
      <c r="F28" s="3"/>
      <c r="G28" s="5"/>
      <c r="H28" s="5"/>
      <c r="I28" s="5" t="str">
        <f t="shared" si="4"/>
        <v/>
      </c>
      <c r="J28" s="6" t="str">
        <f t="shared" si="2"/>
        <v/>
      </c>
      <c r="K28" s="6" t="str">
        <f t="shared" si="3"/>
        <v/>
      </c>
    </row>
    <row r="29">
      <c r="A29" s="5"/>
      <c r="B29" s="5"/>
      <c r="C29" s="5"/>
      <c r="D29" s="5"/>
      <c r="E29" s="5"/>
      <c r="F29" s="3"/>
      <c r="G29" s="5"/>
      <c r="H29" s="5"/>
      <c r="I29" s="5" t="str">
        <f t="shared" si="4"/>
        <v/>
      </c>
      <c r="J29" s="6" t="str">
        <f t="shared" si="2"/>
        <v/>
      </c>
      <c r="K29" s="6" t="str">
        <f t="shared" si="3"/>
        <v/>
      </c>
    </row>
    <row r="30">
      <c r="A30" s="5"/>
      <c r="B30" s="5"/>
      <c r="C30" s="5"/>
      <c r="D30" s="5"/>
      <c r="E30" s="5"/>
      <c r="F30" s="3"/>
      <c r="G30" s="5"/>
      <c r="H30" s="5"/>
      <c r="I30" s="5" t="str">
        <f t="shared" si="4"/>
        <v/>
      </c>
      <c r="J30" s="6" t="str">
        <f t="shared" si="2"/>
        <v/>
      </c>
      <c r="K30" s="6" t="str">
        <f t="shared" si="3"/>
        <v/>
      </c>
    </row>
    <row r="31">
      <c r="A31" s="5"/>
      <c r="B31" s="5"/>
      <c r="C31" s="5"/>
      <c r="D31" s="5"/>
      <c r="E31" s="5"/>
      <c r="F31" s="3"/>
      <c r="G31" s="5"/>
      <c r="H31" s="5"/>
      <c r="I31" s="5" t="str">
        <f t="shared" si="4"/>
        <v/>
      </c>
      <c r="J31" s="6" t="str">
        <f t="shared" si="2"/>
        <v/>
      </c>
      <c r="K31" s="6" t="str">
        <f t="shared" si="3"/>
        <v/>
      </c>
    </row>
    <row r="32">
      <c r="A32" s="5"/>
      <c r="B32" s="5"/>
      <c r="C32" s="5"/>
      <c r="D32" s="5"/>
      <c r="E32" s="5"/>
      <c r="F32" s="3"/>
      <c r="G32" s="5"/>
      <c r="H32" s="5"/>
      <c r="I32" s="5" t="str">
        <f t="shared" si="4"/>
        <v/>
      </c>
      <c r="J32" s="6" t="str">
        <f t="shared" si="2"/>
        <v/>
      </c>
      <c r="K32" s="6" t="str">
        <f t="shared" si="3"/>
        <v/>
      </c>
    </row>
    <row r="33">
      <c r="A33" s="5"/>
      <c r="B33" s="5"/>
      <c r="C33" s="5"/>
      <c r="D33" s="5"/>
      <c r="E33" s="5"/>
      <c r="F33" s="3"/>
      <c r="G33" s="5"/>
      <c r="H33" s="5"/>
      <c r="I33" s="5" t="str">
        <f t="shared" si="4"/>
        <v/>
      </c>
      <c r="J33" s="6" t="str">
        <f t="shared" si="2"/>
        <v/>
      </c>
      <c r="K33" s="6" t="str">
        <f t="shared" si="3"/>
        <v/>
      </c>
    </row>
    <row r="34">
      <c r="A34" s="5"/>
      <c r="B34" s="5"/>
      <c r="C34" s="5"/>
      <c r="D34" s="5"/>
      <c r="E34" s="5"/>
      <c r="F34" s="3"/>
      <c r="G34" s="5"/>
      <c r="H34" s="5"/>
      <c r="I34" s="5" t="str">
        <f t="shared" si="4"/>
        <v/>
      </c>
      <c r="J34" s="6" t="str">
        <f t="shared" si="2"/>
        <v/>
      </c>
      <c r="K34" s="6" t="str">
        <f t="shared" si="3"/>
        <v/>
      </c>
    </row>
    <row r="35">
      <c r="A35" s="5"/>
      <c r="B35" s="5"/>
      <c r="C35" s="5"/>
      <c r="D35" s="5"/>
      <c r="E35" s="5"/>
      <c r="F35" s="3"/>
      <c r="G35" s="5"/>
      <c r="H35" s="5"/>
      <c r="I35" s="5" t="str">
        <f t="shared" si="4"/>
        <v/>
      </c>
      <c r="J35" s="6" t="str">
        <f t="shared" si="2"/>
        <v/>
      </c>
      <c r="K35" s="6" t="str">
        <f t="shared" si="3"/>
        <v/>
      </c>
    </row>
    <row r="36">
      <c r="A36" s="5"/>
      <c r="B36" s="5"/>
      <c r="C36" s="5"/>
      <c r="D36" s="5"/>
      <c r="E36" s="5"/>
      <c r="F36" s="3"/>
      <c r="G36" s="5"/>
      <c r="H36" s="5"/>
      <c r="I36" s="5" t="str">
        <f t="shared" si="4"/>
        <v/>
      </c>
      <c r="J36" s="6" t="str">
        <f t="shared" si="2"/>
        <v/>
      </c>
      <c r="K36" s="6" t="str">
        <f t="shared" si="3"/>
        <v/>
      </c>
    </row>
    <row r="37">
      <c r="A37" s="5"/>
      <c r="B37" s="5"/>
      <c r="C37" s="5"/>
      <c r="D37" s="5"/>
      <c r="E37" s="5"/>
      <c r="F37" s="3"/>
      <c r="G37" s="5"/>
      <c r="H37" s="5"/>
      <c r="I37" s="5" t="str">
        <f t="shared" si="4"/>
        <v/>
      </c>
      <c r="J37" s="6" t="str">
        <f t="shared" si="2"/>
        <v/>
      </c>
      <c r="K37" s="6" t="str">
        <f t="shared" si="3"/>
        <v/>
      </c>
    </row>
    <row r="38">
      <c r="A38" s="5"/>
      <c r="B38" s="5"/>
      <c r="C38" s="5"/>
      <c r="D38" s="5"/>
      <c r="E38" s="5"/>
      <c r="F38" s="3"/>
      <c r="G38" s="5"/>
      <c r="H38" s="5"/>
      <c r="I38" s="5" t="str">
        <f t="shared" si="4"/>
        <v/>
      </c>
      <c r="J38" s="6" t="str">
        <f t="shared" si="2"/>
        <v/>
      </c>
      <c r="K38" s="6" t="str">
        <f t="shared" si="3"/>
        <v/>
      </c>
    </row>
    <row r="39">
      <c r="A39" s="5"/>
      <c r="B39" s="5"/>
      <c r="C39" s="5"/>
      <c r="D39" s="5"/>
      <c r="E39" s="5"/>
      <c r="F39" s="3"/>
      <c r="G39" s="5"/>
      <c r="H39" s="5"/>
      <c r="I39" s="5" t="str">
        <f t="shared" si="4"/>
        <v/>
      </c>
      <c r="J39" s="6" t="str">
        <f t="shared" si="2"/>
        <v/>
      </c>
      <c r="K39" s="6" t="str">
        <f t="shared" si="3"/>
        <v/>
      </c>
    </row>
    <row r="40">
      <c r="A40" s="5"/>
      <c r="B40" s="5"/>
      <c r="C40" s="5"/>
      <c r="D40" s="5"/>
      <c r="E40" s="5"/>
      <c r="F40" s="3"/>
      <c r="G40" s="5"/>
      <c r="H40" s="5"/>
      <c r="I40" s="5" t="str">
        <f t="shared" si="4"/>
        <v/>
      </c>
      <c r="J40" s="6" t="str">
        <f t="shared" si="2"/>
        <v/>
      </c>
      <c r="K40" s="6" t="str">
        <f t="shared" si="3"/>
        <v/>
      </c>
    </row>
    <row r="41">
      <c r="A41" s="5"/>
      <c r="B41" s="5"/>
      <c r="C41" s="5"/>
      <c r="D41" s="5"/>
      <c r="E41" s="5"/>
      <c r="F41" s="3"/>
      <c r="G41" s="5"/>
      <c r="H41" s="5"/>
      <c r="I41" s="5" t="str">
        <f t="shared" si="4"/>
        <v/>
      </c>
      <c r="J41" s="6" t="str">
        <f t="shared" si="2"/>
        <v/>
      </c>
      <c r="K41" s="6" t="str">
        <f t="shared" si="3"/>
        <v/>
      </c>
    </row>
    <row r="42">
      <c r="A42" s="5"/>
      <c r="B42" s="5"/>
      <c r="C42" s="5"/>
      <c r="D42" s="5"/>
      <c r="E42" s="5"/>
      <c r="F42" s="3"/>
      <c r="G42" s="5"/>
      <c r="H42" s="5"/>
      <c r="I42" s="5" t="str">
        <f t="shared" si="4"/>
        <v/>
      </c>
      <c r="J42" s="6" t="str">
        <f t="shared" si="2"/>
        <v/>
      </c>
      <c r="K42" s="6" t="str">
        <f t="shared" si="3"/>
        <v/>
      </c>
    </row>
    <row r="43">
      <c r="A43" s="5"/>
      <c r="B43" s="5"/>
      <c r="C43" s="5"/>
      <c r="D43" s="5"/>
      <c r="E43" s="5"/>
      <c r="F43" s="3"/>
      <c r="G43" s="5"/>
      <c r="H43" s="5"/>
      <c r="I43" s="5" t="str">
        <f t="shared" si="4"/>
        <v/>
      </c>
      <c r="J43" s="6" t="str">
        <f t="shared" si="2"/>
        <v/>
      </c>
      <c r="K43" s="6" t="str">
        <f t="shared" si="3"/>
        <v/>
      </c>
    </row>
    <row r="44">
      <c r="A44" s="5"/>
      <c r="B44" s="5"/>
      <c r="C44" s="5"/>
      <c r="D44" s="5"/>
      <c r="E44" s="5"/>
      <c r="F44" s="3"/>
      <c r="G44" s="5"/>
      <c r="H44" s="5"/>
      <c r="I44" s="5" t="str">
        <f t="shared" si="4"/>
        <v/>
      </c>
      <c r="J44" s="6" t="str">
        <f t="shared" si="2"/>
        <v/>
      </c>
      <c r="K44" s="6" t="str">
        <f t="shared" si="3"/>
        <v/>
      </c>
    </row>
    <row r="45">
      <c r="A45" s="5"/>
      <c r="B45" s="5"/>
      <c r="C45" s="5"/>
      <c r="D45" s="5"/>
      <c r="E45" s="5"/>
      <c r="F45" s="3"/>
      <c r="G45" s="5"/>
      <c r="H45" s="5"/>
      <c r="I45" s="5" t="str">
        <f t="shared" si="4"/>
        <v/>
      </c>
      <c r="J45" s="6" t="str">
        <f t="shared" si="2"/>
        <v/>
      </c>
      <c r="K45" s="6" t="str">
        <f t="shared" si="3"/>
        <v/>
      </c>
    </row>
    <row r="46">
      <c r="A46" s="5"/>
      <c r="B46" s="5"/>
      <c r="C46" s="5"/>
      <c r="D46" s="5"/>
      <c r="E46" s="5"/>
      <c r="F46" s="3"/>
      <c r="G46" s="5"/>
      <c r="H46" s="5"/>
      <c r="I46" s="5" t="str">
        <f t="shared" si="4"/>
        <v/>
      </c>
      <c r="J46" s="6" t="str">
        <f t="shared" si="2"/>
        <v/>
      </c>
      <c r="K46" s="6" t="str">
        <f t="shared" si="3"/>
        <v/>
      </c>
    </row>
    <row r="47">
      <c r="A47" s="5"/>
      <c r="B47" s="5"/>
      <c r="C47" s="5"/>
      <c r="D47" s="5"/>
      <c r="E47" s="5"/>
      <c r="F47" s="3"/>
      <c r="G47" s="5"/>
      <c r="H47" s="5"/>
      <c r="I47" s="5" t="str">
        <f t="shared" si="4"/>
        <v/>
      </c>
      <c r="J47" s="6" t="str">
        <f t="shared" si="2"/>
        <v/>
      </c>
      <c r="K47" s="6" t="str">
        <f t="shared" si="3"/>
        <v/>
      </c>
    </row>
    <row r="48">
      <c r="A48" s="5"/>
      <c r="B48" s="5"/>
      <c r="C48" s="5"/>
      <c r="D48" s="5"/>
      <c r="E48" s="5"/>
      <c r="F48" s="3"/>
      <c r="G48" s="5"/>
      <c r="H48" s="5"/>
      <c r="I48" s="5" t="str">
        <f t="shared" si="4"/>
        <v/>
      </c>
      <c r="J48" s="6" t="str">
        <f t="shared" si="2"/>
        <v/>
      </c>
      <c r="K48" s="6" t="str">
        <f t="shared" si="3"/>
        <v/>
      </c>
    </row>
    <row r="49">
      <c r="A49" s="5"/>
      <c r="B49" s="5"/>
      <c r="C49" s="5"/>
      <c r="D49" s="5"/>
      <c r="E49" s="5"/>
      <c r="F49" s="3"/>
      <c r="G49" s="5"/>
      <c r="H49" s="5"/>
      <c r="I49" s="5" t="str">
        <f t="shared" si="4"/>
        <v/>
      </c>
      <c r="J49" s="6" t="str">
        <f t="shared" si="2"/>
        <v/>
      </c>
      <c r="K49" s="6" t="str">
        <f t="shared" si="3"/>
        <v/>
      </c>
    </row>
    <row r="50">
      <c r="A50" s="5"/>
      <c r="B50" s="5"/>
      <c r="C50" s="5"/>
      <c r="D50" s="5"/>
      <c r="E50" s="5"/>
      <c r="F50" s="3"/>
      <c r="G50" s="5"/>
      <c r="H50" s="5"/>
      <c r="I50" s="5" t="str">
        <f t="shared" si="4"/>
        <v/>
      </c>
      <c r="J50" s="6" t="str">
        <f t="shared" si="2"/>
        <v/>
      </c>
      <c r="K50" s="6" t="str">
        <f t="shared" si="3"/>
        <v/>
      </c>
    </row>
    <row r="51">
      <c r="A51" s="5"/>
      <c r="B51" s="5"/>
      <c r="C51" s="5"/>
      <c r="D51" s="5"/>
      <c r="E51" s="5"/>
      <c r="F51" s="3"/>
      <c r="G51" s="5"/>
      <c r="H51" s="5"/>
      <c r="I51" s="5" t="str">
        <f t="shared" si="4"/>
        <v/>
      </c>
      <c r="J51" s="6" t="str">
        <f t="shared" si="2"/>
        <v/>
      </c>
      <c r="K51" s="6" t="str">
        <f t="shared" si="3"/>
        <v/>
      </c>
    </row>
    <row r="52">
      <c r="A52" s="5"/>
      <c r="B52" s="5"/>
      <c r="C52" s="5"/>
      <c r="D52" s="5"/>
      <c r="E52" s="5"/>
      <c r="F52" s="3"/>
      <c r="G52" s="5"/>
      <c r="H52" s="5"/>
      <c r="I52" s="5" t="str">
        <f t="shared" si="4"/>
        <v/>
      </c>
      <c r="J52" s="6" t="str">
        <f t="shared" si="2"/>
        <v/>
      </c>
      <c r="K52" s="6" t="str">
        <f t="shared" si="3"/>
        <v/>
      </c>
    </row>
    <row r="53">
      <c r="A53" s="5"/>
      <c r="B53" s="5"/>
      <c r="C53" s="5"/>
      <c r="D53" s="5"/>
      <c r="E53" s="5"/>
      <c r="F53" s="3"/>
      <c r="G53" s="5"/>
      <c r="H53" s="5"/>
      <c r="I53" s="5" t="str">
        <f t="shared" si="4"/>
        <v/>
      </c>
      <c r="J53" s="6" t="str">
        <f t="shared" si="2"/>
        <v/>
      </c>
      <c r="K53" s="6" t="str">
        <f t="shared" si="3"/>
        <v/>
      </c>
    </row>
    <row r="54">
      <c r="A54" s="5"/>
      <c r="B54" s="5"/>
      <c r="C54" s="5"/>
      <c r="D54" s="5"/>
      <c r="E54" s="5"/>
      <c r="F54" s="3"/>
      <c r="G54" s="5"/>
      <c r="H54" s="5"/>
      <c r="I54" s="5" t="str">
        <f t="shared" si="4"/>
        <v/>
      </c>
      <c r="J54" s="6" t="str">
        <f t="shared" si="2"/>
        <v/>
      </c>
      <c r="K54" s="6" t="str">
        <f t="shared" si="3"/>
        <v/>
      </c>
    </row>
    <row r="55">
      <c r="A55" s="5"/>
      <c r="B55" s="5"/>
      <c r="C55" s="5"/>
      <c r="D55" s="5"/>
      <c r="E55" s="5"/>
      <c r="F55" s="3"/>
      <c r="G55" s="5"/>
      <c r="H55" s="5"/>
      <c r="I55" s="5" t="str">
        <f t="shared" si="4"/>
        <v/>
      </c>
      <c r="J55" s="6" t="str">
        <f t="shared" si="2"/>
        <v/>
      </c>
      <c r="K55" s="6" t="str">
        <f t="shared" si="3"/>
        <v/>
      </c>
    </row>
    <row r="56">
      <c r="A56" s="5"/>
      <c r="B56" s="5"/>
      <c r="C56" s="5"/>
      <c r="D56" s="5"/>
      <c r="E56" s="5"/>
      <c r="F56" s="3"/>
      <c r="G56" s="5"/>
      <c r="H56" s="5"/>
      <c r="I56" s="5" t="str">
        <f t="shared" si="4"/>
        <v/>
      </c>
      <c r="J56" s="6" t="str">
        <f t="shared" si="2"/>
        <v/>
      </c>
      <c r="K56" s="6" t="str">
        <f t="shared" si="3"/>
        <v/>
      </c>
    </row>
    <row r="57">
      <c r="A57" s="5"/>
      <c r="B57" s="5"/>
      <c r="C57" s="5"/>
      <c r="D57" s="5"/>
      <c r="E57" s="5"/>
      <c r="F57" s="3"/>
      <c r="G57" s="5"/>
      <c r="H57" s="5"/>
      <c r="I57" s="5" t="str">
        <f t="shared" si="4"/>
        <v/>
      </c>
      <c r="J57" s="6" t="str">
        <f t="shared" si="2"/>
        <v/>
      </c>
      <c r="K57" s="6" t="str">
        <f t="shared" si="3"/>
        <v/>
      </c>
    </row>
    <row r="58">
      <c r="A58" s="5"/>
      <c r="B58" s="5"/>
      <c r="C58" s="5"/>
      <c r="D58" s="5"/>
      <c r="E58" s="5"/>
      <c r="F58" s="3"/>
      <c r="G58" s="5"/>
      <c r="H58" s="5"/>
      <c r="I58" s="5" t="str">
        <f t="shared" si="4"/>
        <v/>
      </c>
      <c r="J58" s="6" t="str">
        <f t="shared" si="2"/>
        <v/>
      </c>
      <c r="K58" s="6" t="str">
        <f t="shared" si="3"/>
        <v/>
      </c>
    </row>
    <row r="59">
      <c r="A59" s="5"/>
      <c r="B59" s="5"/>
      <c r="C59" s="5"/>
      <c r="D59" s="5"/>
      <c r="E59" s="5"/>
      <c r="F59" s="3"/>
      <c r="G59" s="5"/>
      <c r="H59" s="5"/>
      <c r="I59" s="5" t="str">
        <f t="shared" si="4"/>
        <v/>
      </c>
      <c r="J59" s="6" t="str">
        <f t="shared" si="2"/>
        <v/>
      </c>
      <c r="K59" s="6" t="str">
        <f t="shared" si="3"/>
        <v/>
      </c>
    </row>
    <row r="60">
      <c r="A60" s="5"/>
      <c r="B60" s="5"/>
      <c r="C60" s="5"/>
      <c r="D60" s="5"/>
      <c r="E60" s="5"/>
      <c r="F60" s="3"/>
      <c r="G60" s="5"/>
      <c r="H60" s="5"/>
      <c r="I60" s="5" t="str">
        <f t="shared" si="4"/>
        <v/>
      </c>
      <c r="J60" s="6" t="str">
        <f t="shared" si="2"/>
        <v/>
      </c>
      <c r="K60" s="6" t="str">
        <f t="shared" si="3"/>
        <v/>
      </c>
    </row>
    <row r="61">
      <c r="A61" s="5"/>
      <c r="B61" s="5"/>
      <c r="C61" s="5"/>
      <c r="D61" s="5"/>
      <c r="E61" s="5"/>
      <c r="F61" s="3"/>
      <c r="G61" s="5"/>
      <c r="H61" s="5"/>
      <c r="I61" s="5" t="str">
        <f t="shared" si="4"/>
        <v/>
      </c>
      <c r="J61" s="6" t="str">
        <f t="shared" si="2"/>
        <v/>
      </c>
      <c r="K61" s="6" t="str">
        <f t="shared" si="3"/>
        <v/>
      </c>
    </row>
    <row r="62">
      <c r="A62" s="5"/>
      <c r="B62" s="5"/>
      <c r="C62" s="5"/>
      <c r="D62" s="5"/>
      <c r="E62" s="5"/>
      <c r="F62" s="3"/>
      <c r="G62" s="5"/>
      <c r="H62" s="5"/>
      <c r="I62" s="5" t="str">
        <f t="shared" si="4"/>
        <v/>
      </c>
      <c r="J62" s="6" t="str">
        <f t="shared" si="2"/>
        <v/>
      </c>
      <c r="K62" s="6" t="str">
        <f t="shared" si="3"/>
        <v/>
      </c>
    </row>
    <row r="63">
      <c r="A63" s="5"/>
      <c r="B63" s="5"/>
      <c r="C63" s="5"/>
      <c r="D63" s="5"/>
      <c r="E63" s="5"/>
      <c r="F63" s="3"/>
      <c r="G63" s="5"/>
      <c r="H63" s="5"/>
      <c r="I63" s="5" t="str">
        <f t="shared" si="4"/>
        <v/>
      </c>
      <c r="J63" s="6" t="str">
        <f t="shared" si="2"/>
        <v/>
      </c>
      <c r="K63" s="6" t="str">
        <f t="shared" si="3"/>
        <v/>
      </c>
    </row>
    <row r="64">
      <c r="A64" s="5"/>
      <c r="B64" s="5"/>
      <c r="C64" s="5"/>
      <c r="D64" s="5"/>
      <c r="E64" s="5"/>
      <c r="F64" s="3"/>
      <c r="G64" s="5"/>
      <c r="H64" s="5"/>
      <c r="I64" s="5" t="str">
        <f t="shared" si="4"/>
        <v/>
      </c>
      <c r="J64" s="6" t="str">
        <f t="shared" si="2"/>
        <v/>
      </c>
      <c r="K64" s="6" t="str">
        <f t="shared" si="3"/>
        <v/>
      </c>
    </row>
    <row r="65">
      <c r="A65" s="5"/>
      <c r="B65" s="5"/>
      <c r="C65" s="5"/>
      <c r="D65" s="5"/>
      <c r="E65" s="5"/>
      <c r="F65" s="3"/>
      <c r="G65" s="5"/>
      <c r="H65" s="5"/>
      <c r="I65" s="5" t="str">
        <f t="shared" si="4"/>
        <v/>
      </c>
      <c r="J65" s="6" t="str">
        <f t="shared" si="2"/>
        <v/>
      </c>
      <c r="K65" s="6" t="str">
        <f t="shared" si="3"/>
        <v/>
      </c>
    </row>
    <row r="66">
      <c r="A66" s="5"/>
      <c r="B66" s="5"/>
      <c r="C66" s="5"/>
      <c r="D66" s="5"/>
      <c r="E66" s="5"/>
      <c r="F66" s="3"/>
      <c r="G66" s="5"/>
      <c r="H66" s="5"/>
      <c r="I66" s="5" t="str">
        <f t="shared" si="4"/>
        <v/>
      </c>
      <c r="J66" s="6" t="str">
        <f t="shared" si="2"/>
        <v/>
      </c>
      <c r="K66" s="6" t="str">
        <f t="shared" si="3"/>
        <v/>
      </c>
    </row>
    <row r="67">
      <c r="A67" s="5"/>
      <c r="B67" s="5"/>
      <c r="C67" s="5"/>
      <c r="D67" s="5"/>
      <c r="E67" s="5"/>
      <c r="F67" s="3"/>
      <c r="G67" s="5"/>
      <c r="H67" s="5"/>
      <c r="I67" s="5" t="str">
        <f t="shared" si="4"/>
        <v/>
      </c>
      <c r="J67" s="6" t="str">
        <f t="shared" si="2"/>
        <v/>
      </c>
      <c r="K67" s="6" t="str">
        <f t="shared" si="3"/>
        <v/>
      </c>
    </row>
    <row r="68">
      <c r="A68" s="5"/>
      <c r="B68" s="5"/>
      <c r="C68" s="5"/>
      <c r="D68" s="5"/>
      <c r="E68" s="5"/>
      <c r="F68" s="3"/>
      <c r="G68" s="5"/>
      <c r="H68" s="5"/>
      <c r="I68" s="5" t="str">
        <f t="shared" si="4"/>
        <v/>
      </c>
      <c r="J68" s="6" t="str">
        <f t="shared" si="2"/>
        <v/>
      </c>
      <c r="K68" s="6" t="str">
        <f t="shared" si="3"/>
        <v/>
      </c>
    </row>
    <row r="69">
      <c r="A69" s="5"/>
      <c r="B69" s="5"/>
      <c r="C69" s="5"/>
      <c r="D69" s="5"/>
      <c r="E69" s="5"/>
      <c r="F69" s="3"/>
      <c r="G69" s="5"/>
      <c r="H69" s="5"/>
      <c r="I69" s="5" t="str">
        <f t="shared" si="4"/>
        <v/>
      </c>
      <c r="J69" s="6" t="str">
        <f t="shared" si="2"/>
        <v/>
      </c>
      <c r="K69" s="6" t="str">
        <f t="shared" si="3"/>
        <v/>
      </c>
    </row>
    <row r="70">
      <c r="A70" s="5"/>
      <c r="B70" s="5"/>
      <c r="C70" s="5"/>
      <c r="D70" s="5"/>
      <c r="E70" s="5"/>
      <c r="F70" s="3"/>
      <c r="G70" s="5"/>
      <c r="H70" s="5"/>
      <c r="I70" s="5" t="str">
        <f t="shared" si="4"/>
        <v/>
      </c>
      <c r="J70" s="6" t="str">
        <f t="shared" si="2"/>
        <v/>
      </c>
      <c r="K70" s="6" t="str">
        <f t="shared" si="3"/>
        <v/>
      </c>
    </row>
    <row r="71">
      <c r="A71" s="5"/>
      <c r="B71" s="5"/>
      <c r="C71" s="5"/>
      <c r="D71" s="5"/>
      <c r="E71" s="5"/>
      <c r="F71" s="3"/>
      <c r="G71" s="5"/>
      <c r="H71" s="5"/>
      <c r="I71" s="5" t="str">
        <f t="shared" si="4"/>
        <v/>
      </c>
      <c r="J71" s="6" t="str">
        <f t="shared" si="2"/>
        <v/>
      </c>
      <c r="K71" s="6" t="str">
        <f t="shared" si="3"/>
        <v/>
      </c>
    </row>
    <row r="72">
      <c r="A72" s="5"/>
      <c r="B72" s="5"/>
      <c r="C72" s="5"/>
      <c r="D72" s="5"/>
      <c r="E72" s="5"/>
      <c r="F72" s="3"/>
      <c r="G72" s="5"/>
      <c r="H72" s="5"/>
      <c r="I72" s="5" t="str">
        <f t="shared" si="4"/>
        <v/>
      </c>
      <c r="J72" s="6" t="str">
        <f t="shared" si="2"/>
        <v/>
      </c>
      <c r="K72" s="6" t="str">
        <f t="shared" si="3"/>
        <v/>
      </c>
    </row>
    <row r="73">
      <c r="A73" s="5"/>
      <c r="B73" s="5"/>
      <c r="C73" s="5"/>
      <c r="D73" s="5"/>
      <c r="E73" s="5"/>
      <c r="F73" s="3"/>
      <c r="G73" s="5"/>
      <c r="H73" s="5"/>
      <c r="I73" s="5" t="str">
        <f t="shared" si="4"/>
        <v/>
      </c>
      <c r="J73" s="6" t="str">
        <f t="shared" si="2"/>
        <v/>
      </c>
      <c r="K73" s="6" t="str">
        <f t="shared" si="3"/>
        <v/>
      </c>
    </row>
    <row r="74">
      <c r="A74" s="5"/>
      <c r="B74" s="5"/>
      <c r="C74" s="5"/>
      <c r="D74" s="5"/>
      <c r="E74" s="5"/>
      <c r="F74" s="3"/>
      <c r="G74" s="5"/>
      <c r="H74" s="5"/>
      <c r="I74" s="5" t="str">
        <f t="shared" si="4"/>
        <v/>
      </c>
      <c r="J74" s="6" t="str">
        <f t="shared" si="2"/>
        <v/>
      </c>
      <c r="K74" s="6" t="str">
        <f t="shared" si="3"/>
        <v/>
      </c>
    </row>
    <row r="75">
      <c r="A75" s="5"/>
      <c r="B75" s="5"/>
      <c r="C75" s="5"/>
      <c r="D75" s="5"/>
      <c r="E75" s="5"/>
      <c r="F75" s="3"/>
      <c r="G75" s="5"/>
      <c r="H75" s="5"/>
      <c r="I75" s="5" t="str">
        <f t="shared" si="4"/>
        <v/>
      </c>
      <c r="J75" s="6" t="str">
        <f t="shared" si="2"/>
        <v/>
      </c>
      <c r="K75" s="6" t="str">
        <f t="shared" si="3"/>
        <v/>
      </c>
    </row>
    <row r="76">
      <c r="A76" s="5"/>
      <c r="B76" s="5"/>
      <c r="C76" s="5"/>
      <c r="D76" s="5"/>
      <c r="E76" s="5"/>
      <c r="F76" s="3"/>
      <c r="G76" s="5"/>
      <c r="H76" s="5"/>
      <c r="I76" s="5" t="str">
        <f t="shared" si="4"/>
        <v/>
      </c>
      <c r="J76" s="6" t="str">
        <f t="shared" si="2"/>
        <v/>
      </c>
      <c r="K76" s="6" t="str">
        <f t="shared" si="3"/>
        <v/>
      </c>
    </row>
    <row r="77">
      <c r="A77" s="5"/>
      <c r="B77" s="5"/>
      <c r="C77" s="5"/>
      <c r="D77" s="5"/>
      <c r="E77" s="5"/>
      <c r="F77" s="3"/>
      <c r="G77" s="5"/>
      <c r="H77" s="5"/>
      <c r="I77" s="5" t="str">
        <f t="shared" si="4"/>
        <v/>
      </c>
      <c r="J77" s="6" t="str">
        <f t="shared" si="2"/>
        <v/>
      </c>
      <c r="K77" s="6" t="str">
        <f t="shared" si="3"/>
        <v/>
      </c>
    </row>
    <row r="78">
      <c r="A78" s="5"/>
      <c r="B78" s="5"/>
      <c r="C78" s="5"/>
      <c r="D78" s="5"/>
      <c r="E78" s="5"/>
      <c r="F78" s="3"/>
      <c r="G78" s="5"/>
      <c r="H78" s="5"/>
      <c r="I78" s="5" t="str">
        <f t="shared" si="4"/>
        <v/>
      </c>
      <c r="J78" s="6" t="str">
        <f t="shared" si="2"/>
        <v/>
      </c>
      <c r="K78" s="6" t="str">
        <f t="shared" si="3"/>
        <v/>
      </c>
    </row>
    <row r="79">
      <c r="A79" s="5"/>
      <c r="B79" s="5"/>
      <c r="C79" s="5"/>
      <c r="D79" s="5"/>
      <c r="E79" s="5"/>
      <c r="F79" s="3"/>
      <c r="G79" s="5"/>
      <c r="H79" s="5"/>
      <c r="I79" s="5" t="str">
        <f t="shared" si="4"/>
        <v/>
      </c>
      <c r="J79" s="6" t="str">
        <f t="shared" si="2"/>
        <v/>
      </c>
      <c r="K79" s="6" t="str">
        <f t="shared" si="3"/>
        <v/>
      </c>
    </row>
    <row r="80">
      <c r="A80" s="5"/>
      <c r="B80" s="5"/>
      <c r="C80" s="5"/>
      <c r="D80" s="5"/>
      <c r="E80" s="5"/>
      <c r="F80" s="3"/>
      <c r="G80" s="5"/>
      <c r="H80" s="5"/>
      <c r="I80" s="5" t="str">
        <f t="shared" si="4"/>
        <v/>
      </c>
      <c r="J80" s="6" t="str">
        <f t="shared" si="2"/>
        <v/>
      </c>
      <c r="K80" s="6" t="str">
        <f t="shared" si="3"/>
        <v/>
      </c>
    </row>
    <row r="81">
      <c r="A81" s="5"/>
      <c r="B81" s="5"/>
      <c r="C81" s="5"/>
      <c r="D81" s="5"/>
      <c r="E81" s="5"/>
      <c r="F81" s="3"/>
      <c r="G81" s="5"/>
      <c r="H81" s="5"/>
      <c r="I81" s="5" t="str">
        <f t="shared" si="4"/>
        <v/>
      </c>
      <c r="J81" s="6" t="str">
        <f t="shared" si="2"/>
        <v/>
      </c>
      <c r="K81" s="6" t="str">
        <f t="shared" si="3"/>
        <v/>
      </c>
    </row>
    <row r="82">
      <c r="A82" s="5"/>
      <c r="B82" s="5"/>
      <c r="C82" s="5"/>
      <c r="D82" s="5"/>
      <c r="E82" s="5"/>
      <c r="F82" s="3"/>
      <c r="G82" s="5"/>
      <c r="H82" s="5"/>
      <c r="I82" s="5" t="str">
        <f t="shared" si="4"/>
        <v/>
      </c>
      <c r="J82" s="6" t="str">
        <f t="shared" si="2"/>
        <v/>
      </c>
      <c r="K82" s="6" t="str">
        <f t="shared" si="3"/>
        <v/>
      </c>
    </row>
    <row r="83">
      <c r="A83" s="5"/>
      <c r="B83" s="5"/>
      <c r="C83" s="5"/>
      <c r="D83" s="5"/>
      <c r="E83" s="5"/>
      <c r="F83" s="3"/>
      <c r="G83" s="5"/>
      <c r="H83" s="5"/>
      <c r="I83" s="5" t="str">
        <f t="shared" si="4"/>
        <v/>
      </c>
      <c r="J83" s="6" t="str">
        <f t="shared" si="2"/>
        <v/>
      </c>
      <c r="K83" s="6" t="str">
        <f t="shared" si="3"/>
        <v/>
      </c>
    </row>
    <row r="84">
      <c r="A84" s="5"/>
      <c r="B84" s="5"/>
      <c r="C84" s="5"/>
      <c r="D84" s="5"/>
      <c r="E84" s="5"/>
      <c r="F84" s="3"/>
      <c r="G84" s="5"/>
      <c r="H84" s="5"/>
      <c r="I84" s="5" t="str">
        <f t="shared" si="4"/>
        <v/>
      </c>
      <c r="J84" s="6" t="str">
        <f t="shared" si="2"/>
        <v/>
      </c>
      <c r="K84" s="6" t="str">
        <f t="shared" si="3"/>
        <v/>
      </c>
    </row>
    <row r="85">
      <c r="A85" s="5"/>
      <c r="B85" s="5"/>
      <c r="C85" s="5"/>
      <c r="D85" s="5"/>
      <c r="E85" s="5"/>
      <c r="F85" s="3"/>
      <c r="G85" s="5"/>
      <c r="H85" s="5"/>
      <c r="I85" s="5" t="str">
        <f t="shared" si="4"/>
        <v/>
      </c>
      <c r="J85" s="6" t="str">
        <f t="shared" si="2"/>
        <v/>
      </c>
      <c r="K85" s="6" t="str">
        <f t="shared" si="3"/>
        <v/>
      </c>
    </row>
    <row r="86">
      <c r="A86" s="5"/>
      <c r="B86" s="5"/>
      <c r="C86" s="5"/>
      <c r="D86" s="5"/>
      <c r="E86" s="5"/>
      <c r="F86" s="3"/>
      <c r="G86" s="5"/>
      <c r="H86" s="5"/>
      <c r="I86" s="5" t="str">
        <f t="shared" si="4"/>
        <v/>
      </c>
      <c r="J86" s="6" t="str">
        <f t="shared" si="2"/>
        <v/>
      </c>
      <c r="K86" s="6" t="str">
        <f t="shared" si="3"/>
        <v/>
      </c>
    </row>
    <row r="87">
      <c r="A87" s="5"/>
      <c r="B87" s="5"/>
      <c r="C87" s="5"/>
      <c r="D87" s="5"/>
      <c r="E87" s="5"/>
      <c r="F87" s="3"/>
      <c r="G87" s="5"/>
      <c r="H87" s="5"/>
      <c r="I87" s="5" t="str">
        <f t="shared" si="4"/>
        <v/>
      </c>
      <c r="J87" s="6" t="str">
        <f t="shared" si="2"/>
        <v/>
      </c>
      <c r="K87" s="6" t="str">
        <f t="shared" si="3"/>
        <v/>
      </c>
    </row>
    <row r="88">
      <c r="A88" s="5"/>
      <c r="B88" s="5"/>
      <c r="C88" s="5"/>
      <c r="D88" s="5"/>
      <c r="E88" s="5"/>
      <c r="F88" s="3"/>
      <c r="G88" s="5"/>
      <c r="H88" s="5"/>
      <c r="I88" s="5" t="str">
        <f t="shared" si="4"/>
        <v/>
      </c>
      <c r="J88" s="6" t="str">
        <f t="shared" si="2"/>
        <v/>
      </c>
      <c r="K88" s="6" t="str">
        <f t="shared" si="3"/>
        <v/>
      </c>
    </row>
    <row r="89">
      <c r="A89" s="5"/>
      <c r="B89" s="5"/>
      <c r="C89" s="5"/>
      <c r="D89" s="5"/>
      <c r="E89" s="5"/>
      <c r="F89" s="3"/>
      <c r="G89" s="5"/>
      <c r="H89" s="5"/>
      <c r="I89" s="5" t="str">
        <f t="shared" si="4"/>
        <v/>
      </c>
      <c r="J89" s="6" t="str">
        <f t="shared" si="2"/>
        <v/>
      </c>
      <c r="K89" s="6" t="str">
        <f t="shared" si="3"/>
        <v/>
      </c>
    </row>
    <row r="90">
      <c r="A90" s="5"/>
      <c r="B90" s="5"/>
      <c r="C90" s="5"/>
      <c r="D90" s="5"/>
      <c r="E90" s="5"/>
      <c r="F90" s="3"/>
      <c r="G90" s="5"/>
      <c r="H90" s="5"/>
      <c r="I90" s="5" t="str">
        <f t="shared" si="4"/>
        <v/>
      </c>
      <c r="J90" s="6" t="str">
        <f t="shared" si="2"/>
        <v/>
      </c>
      <c r="K90" s="6" t="str">
        <f t="shared" si="3"/>
        <v/>
      </c>
    </row>
    <row r="91">
      <c r="A91" s="5"/>
      <c r="B91" s="5"/>
      <c r="C91" s="5"/>
      <c r="D91" s="5"/>
      <c r="E91" s="5"/>
      <c r="F91" s="3"/>
      <c r="G91" s="5"/>
      <c r="H91" s="5"/>
      <c r="I91" s="5" t="str">
        <f t="shared" si="4"/>
        <v/>
      </c>
      <c r="J91" s="6" t="str">
        <f t="shared" si="2"/>
        <v/>
      </c>
      <c r="K91" s="6" t="str">
        <f t="shared" si="3"/>
        <v/>
      </c>
    </row>
    <row r="92">
      <c r="A92" s="5"/>
      <c r="B92" s="5"/>
      <c r="C92" s="5"/>
      <c r="D92" s="5"/>
      <c r="E92" s="5"/>
      <c r="F92" s="3"/>
      <c r="G92" s="5"/>
      <c r="H92" s="5"/>
      <c r="I92" s="5" t="str">
        <f t="shared" si="4"/>
        <v/>
      </c>
      <c r="J92" s="6" t="str">
        <f t="shared" si="2"/>
        <v/>
      </c>
      <c r="K92" s="6" t="str">
        <f t="shared" si="3"/>
        <v/>
      </c>
    </row>
    <row r="93">
      <c r="A93" s="5"/>
      <c r="B93" s="5"/>
      <c r="C93" s="5"/>
      <c r="D93" s="5"/>
      <c r="E93" s="5"/>
      <c r="F93" s="3"/>
      <c r="G93" s="5"/>
      <c r="H93" s="5"/>
      <c r="I93" s="5" t="str">
        <f t="shared" si="4"/>
        <v/>
      </c>
      <c r="J93" s="6" t="str">
        <f t="shared" si="2"/>
        <v/>
      </c>
      <c r="K93" s="6" t="str">
        <f t="shared" si="3"/>
        <v/>
      </c>
    </row>
    <row r="94">
      <c r="A94" s="5"/>
      <c r="B94" s="5"/>
      <c r="C94" s="5"/>
      <c r="D94" s="5"/>
      <c r="E94" s="5"/>
      <c r="F94" s="3"/>
      <c r="G94" s="5"/>
      <c r="H94" s="5"/>
      <c r="I94" s="5" t="str">
        <f t="shared" si="4"/>
        <v/>
      </c>
      <c r="J94" s="6" t="str">
        <f t="shared" si="2"/>
        <v/>
      </c>
      <c r="K94" s="6" t="str">
        <f t="shared" si="3"/>
        <v/>
      </c>
    </row>
    <row r="95">
      <c r="A95" s="5"/>
      <c r="B95" s="5"/>
      <c r="C95" s="5"/>
      <c r="D95" s="5"/>
      <c r="E95" s="5"/>
      <c r="F95" s="3"/>
      <c r="G95" s="5"/>
      <c r="H95" s="5"/>
      <c r="I95" s="5" t="str">
        <f t="shared" si="4"/>
        <v/>
      </c>
      <c r="J95" s="6" t="str">
        <f t="shared" si="2"/>
        <v/>
      </c>
      <c r="K95" s="6" t="str">
        <f t="shared" si="3"/>
        <v/>
      </c>
    </row>
    <row r="96">
      <c r="A96" s="5"/>
      <c r="B96" s="5"/>
      <c r="C96" s="5"/>
      <c r="D96" s="5"/>
      <c r="E96" s="5"/>
      <c r="F96" s="3"/>
      <c r="G96" s="5"/>
      <c r="H96" s="5"/>
      <c r="I96" s="5" t="str">
        <f t="shared" si="4"/>
        <v/>
      </c>
      <c r="J96" s="6" t="str">
        <f t="shared" si="2"/>
        <v/>
      </c>
      <c r="K96" s="6" t="str">
        <f t="shared" si="3"/>
        <v/>
      </c>
    </row>
    <row r="97">
      <c r="A97" s="5"/>
      <c r="B97" s="5"/>
      <c r="C97" s="5"/>
      <c r="D97" s="5"/>
      <c r="E97" s="5"/>
      <c r="F97" s="3"/>
      <c r="G97" s="5"/>
      <c r="H97" s="5"/>
      <c r="I97" s="5" t="str">
        <f t="shared" si="4"/>
        <v/>
      </c>
      <c r="J97" s="6" t="str">
        <f t="shared" si="2"/>
        <v/>
      </c>
      <c r="K97" s="6" t="str">
        <f t="shared" si="3"/>
        <v/>
      </c>
    </row>
    <row r="98">
      <c r="A98" s="5"/>
      <c r="B98" s="5"/>
      <c r="C98" s="5"/>
      <c r="D98" s="5"/>
      <c r="E98" s="5"/>
      <c r="F98" s="3"/>
      <c r="G98" s="5"/>
      <c r="H98" s="5"/>
      <c r="I98" s="5" t="str">
        <f t="shared" si="4"/>
        <v/>
      </c>
      <c r="J98" s="6" t="str">
        <f t="shared" si="2"/>
        <v/>
      </c>
      <c r="K98" s="6" t="str">
        <f t="shared" si="3"/>
        <v/>
      </c>
    </row>
    <row r="99">
      <c r="A99" s="5"/>
      <c r="B99" s="5"/>
      <c r="C99" s="5"/>
      <c r="D99" s="5"/>
      <c r="E99" s="5"/>
      <c r="F99" s="3"/>
      <c r="G99" s="5"/>
      <c r="H99" s="5"/>
      <c r="I99" s="5" t="str">
        <f t="shared" si="4"/>
        <v/>
      </c>
      <c r="J99" s="6" t="str">
        <f t="shared" si="2"/>
        <v/>
      </c>
      <c r="K99" s="6" t="str">
        <f t="shared" si="3"/>
        <v/>
      </c>
    </row>
    <row r="100">
      <c r="A100" s="5"/>
      <c r="B100" s="5"/>
      <c r="C100" s="5"/>
      <c r="D100" s="5"/>
      <c r="E100" s="5"/>
      <c r="F100" s="3"/>
      <c r="G100" s="5"/>
      <c r="H100" s="5"/>
      <c r="I100" s="5" t="str">
        <f t="shared" si="4"/>
        <v/>
      </c>
      <c r="J100" s="6" t="str">
        <f t="shared" si="2"/>
        <v/>
      </c>
      <c r="K100" s="6" t="str">
        <f t="shared" si="3"/>
        <v/>
      </c>
    </row>
    <row r="101">
      <c r="A101" s="5"/>
      <c r="B101" s="5"/>
      <c r="C101" s="5"/>
      <c r="D101" s="5"/>
      <c r="E101" s="5"/>
      <c r="F101" s="3"/>
      <c r="G101" s="5"/>
      <c r="H101" s="5"/>
      <c r="I101" s="5" t="str">
        <f t="shared" si="4"/>
        <v/>
      </c>
      <c r="J101" s="6" t="str">
        <f t="shared" si="2"/>
        <v/>
      </c>
      <c r="K101" s="6" t="str">
        <f t="shared" si="3"/>
        <v/>
      </c>
    </row>
    <row r="102">
      <c r="A102" s="5"/>
      <c r="B102" s="5"/>
      <c r="C102" s="5"/>
      <c r="D102" s="5"/>
      <c r="E102" s="5"/>
      <c r="F102" s="3"/>
      <c r="G102" s="5"/>
      <c r="H102" s="5"/>
      <c r="I102" s="5" t="str">
        <f t="shared" si="4"/>
        <v/>
      </c>
      <c r="J102" s="6" t="str">
        <f t="shared" si="2"/>
        <v/>
      </c>
      <c r="K102" s="6" t="str">
        <f t="shared" si="3"/>
        <v/>
      </c>
    </row>
    <row r="103">
      <c r="A103" s="5"/>
      <c r="B103" s="5"/>
      <c r="C103" s="5"/>
      <c r="D103" s="5"/>
      <c r="E103" s="5"/>
      <c r="F103" s="3"/>
      <c r="G103" s="5"/>
      <c r="H103" s="5"/>
      <c r="I103" s="5" t="str">
        <f t="shared" si="4"/>
        <v/>
      </c>
      <c r="J103" s="6" t="str">
        <f t="shared" si="2"/>
        <v/>
      </c>
      <c r="K103" s="6" t="str">
        <f t="shared" si="3"/>
        <v/>
      </c>
    </row>
    <row r="104">
      <c r="A104" s="5"/>
      <c r="B104" s="5"/>
      <c r="C104" s="5"/>
      <c r="D104" s="5"/>
      <c r="E104" s="5"/>
      <c r="F104" s="3"/>
      <c r="G104" s="5"/>
      <c r="H104" s="5"/>
      <c r="I104" s="5" t="str">
        <f t="shared" si="4"/>
        <v/>
      </c>
      <c r="J104" s="6" t="str">
        <f t="shared" si="2"/>
        <v/>
      </c>
      <c r="K104" s="6" t="str">
        <f t="shared" si="3"/>
        <v/>
      </c>
    </row>
    <row r="105">
      <c r="A105" s="5"/>
      <c r="B105" s="5"/>
      <c r="C105" s="5"/>
      <c r="D105" s="5"/>
      <c r="E105" s="5"/>
      <c r="F105" s="3"/>
      <c r="G105" s="5"/>
      <c r="H105" s="5"/>
      <c r="I105" s="5" t="str">
        <f t="shared" si="4"/>
        <v/>
      </c>
      <c r="J105" s="6" t="str">
        <f t="shared" si="2"/>
        <v/>
      </c>
      <c r="K105" s="6" t="str">
        <f t="shared" si="3"/>
        <v/>
      </c>
    </row>
    <row r="106">
      <c r="A106" s="5"/>
      <c r="B106" s="5"/>
      <c r="C106" s="5"/>
      <c r="D106" s="5"/>
      <c r="E106" s="5"/>
      <c r="F106" s="3"/>
      <c r="G106" s="5"/>
      <c r="H106" s="5"/>
      <c r="I106" s="5" t="str">
        <f t="shared" si="4"/>
        <v/>
      </c>
      <c r="J106" s="6" t="str">
        <f t="shared" si="2"/>
        <v/>
      </c>
      <c r="K106" s="6" t="str">
        <f t="shared" si="3"/>
        <v/>
      </c>
    </row>
    <row r="107">
      <c r="A107" s="5"/>
      <c r="B107" s="5"/>
      <c r="C107" s="5"/>
      <c r="D107" s="5"/>
      <c r="E107" s="5"/>
      <c r="F107" s="3"/>
      <c r="G107" s="5"/>
      <c r="H107" s="5"/>
      <c r="I107" s="5" t="str">
        <f t="shared" si="4"/>
        <v/>
      </c>
      <c r="J107" s="6" t="str">
        <f t="shared" si="2"/>
        <v/>
      </c>
      <c r="K107" s="6" t="str">
        <f t="shared" si="3"/>
        <v/>
      </c>
    </row>
    <row r="108">
      <c r="A108" s="5"/>
      <c r="B108" s="5"/>
      <c r="C108" s="5"/>
      <c r="D108" s="5"/>
      <c r="E108" s="5"/>
      <c r="F108" s="3"/>
      <c r="G108" s="5"/>
      <c r="H108" s="5"/>
      <c r="I108" s="5" t="str">
        <f t="shared" si="4"/>
        <v/>
      </c>
      <c r="J108" s="6" t="str">
        <f t="shared" si="2"/>
        <v/>
      </c>
      <c r="K108" s="6" t="str">
        <f t="shared" si="3"/>
        <v/>
      </c>
    </row>
    <row r="109">
      <c r="A109" s="5"/>
      <c r="B109" s="5"/>
      <c r="C109" s="5"/>
      <c r="D109" s="5"/>
      <c r="E109" s="5"/>
      <c r="F109" s="3"/>
      <c r="G109" s="5"/>
      <c r="H109" s="5"/>
      <c r="I109" s="5" t="str">
        <f t="shared" si="4"/>
        <v/>
      </c>
      <c r="J109" s="6" t="str">
        <f t="shared" si="2"/>
        <v/>
      </c>
      <c r="K109" s="6" t="str">
        <f t="shared" si="3"/>
        <v/>
      </c>
    </row>
    <row r="110">
      <c r="A110" s="5"/>
      <c r="B110" s="5"/>
      <c r="C110" s="5"/>
      <c r="D110" s="5"/>
      <c r="E110" s="5"/>
      <c r="F110" s="3"/>
      <c r="G110" s="5"/>
      <c r="H110" s="5"/>
      <c r="I110" s="5" t="str">
        <f t="shared" si="4"/>
        <v/>
      </c>
      <c r="J110" s="6" t="str">
        <f t="shared" si="2"/>
        <v/>
      </c>
      <c r="K110" s="6" t="str">
        <f t="shared" si="3"/>
        <v/>
      </c>
    </row>
    <row r="111">
      <c r="A111" s="5"/>
      <c r="B111" s="5"/>
      <c r="C111" s="5"/>
      <c r="D111" s="5"/>
      <c r="E111" s="5"/>
      <c r="F111" s="3"/>
      <c r="G111" s="5"/>
      <c r="H111" s="5"/>
      <c r="I111" s="5" t="str">
        <f t="shared" si="4"/>
        <v/>
      </c>
      <c r="J111" s="6" t="str">
        <f t="shared" si="2"/>
        <v/>
      </c>
      <c r="K111" s="6" t="str">
        <f t="shared" si="3"/>
        <v/>
      </c>
    </row>
    <row r="112">
      <c r="A112" s="5"/>
      <c r="B112" s="5"/>
      <c r="C112" s="5"/>
      <c r="D112" s="5"/>
      <c r="E112" s="5"/>
      <c r="F112" s="3"/>
      <c r="G112" s="5"/>
      <c r="H112" s="5"/>
      <c r="I112" s="5" t="str">
        <f t="shared" si="4"/>
        <v/>
      </c>
      <c r="J112" s="6" t="str">
        <f t="shared" si="2"/>
        <v/>
      </c>
      <c r="K112" s="6" t="str">
        <f t="shared" si="3"/>
        <v/>
      </c>
    </row>
    <row r="113">
      <c r="A113" s="5"/>
      <c r="B113" s="5"/>
      <c r="C113" s="5"/>
      <c r="D113" s="5"/>
      <c r="E113" s="5"/>
      <c r="F113" s="3"/>
      <c r="G113" s="5"/>
      <c r="H113" s="5"/>
      <c r="I113" s="5" t="str">
        <f t="shared" si="4"/>
        <v/>
      </c>
      <c r="J113" s="6" t="str">
        <f t="shared" si="2"/>
        <v/>
      </c>
      <c r="K113" s="6" t="str">
        <f t="shared" si="3"/>
        <v/>
      </c>
    </row>
    <row r="114">
      <c r="A114" s="5"/>
      <c r="B114" s="5"/>
      <c r="C114" s="5"/>
      <c r="D114" s="5"/>
      <c r="E114" s="5"/>
      <c r="F114" s="3"/>
      <c r="G114" s="5"/>
      <c r="H114" s="5"/>
      <c r="I114" s="5" t="str">
        <f t="shared" si="4"/>
        <v/>
      </c>
      <c r="J114" s="6" t="str">
        <f t="shared" si="2"/>
        <v/>
      </c>
      <c r="K114" s="6" t="str">
        <f t="shared" si="3"/>
        <v/>
      </c>
    </row>
    <row r="115">
      <c r="A115" s="5"/>
      <c r="B115" s="5"/>
      <c r="C115" s="5"/>
      <c r="D115" s="5"/>
      <c r="E115" s="5"/>
      <c r="F115" s="3"/>
      <c r="G115" s="5"/>
      <c r="H115" s="5"/>
      <c r="I115" s="5" t="str">
        <f t="shared" si="4"/>
        <v/>
      </c>
      <c r="J115" s="6" t="str">
        <f t="shared" si="2"/>
        <v/>
      </c>
      <c r="K115" s="6" t="str">
        <f t="shared" si="3"/>
        <v/>
      </c>
    </row>
    <row r="116">
      <c r="A116" s="5"/>
      <c r="B116" s="5"/>
      <c r="C116" s="5"/>
      <c r="D116" s="5"/>
      <c r="E116" s="5"/>
      <c r="F116" s="3"/>
      <c r="G116" s="5"/>
      <c r="H116" s="5"/>
      <c r="I116" s="5" t="str">
        <f t="shared" si="4"/>
        <v/>
      </c>
      <c r="J116" s="6" t="str">
        <f t="shared" si="2"/>
        <v/>
      </c>
      <c r="K116" s="6" t="str">
        <f t="shared" si="3"/>
        <v/>
      </c>
    </row>
    <row r="117">
      <c r="A117" s="5"/>
      <c r="B117" s="5"/>
      <c r="C117" s="5"/>
      <c r="D117" s="5"/>
      <c r="E117" s="5"/>
      <c r="F117" s="3"/>
      <c r="G117" s="5"/>
      <c r="H117" s="5"/>
      <c r="I117" s="5" t="str">
        <f t="shared" si="4"/>
        <v/>
      </c>
      <c r="J117" s="6" t="str">
        <f t="shared" si="2"/>
        <v/>
      </c>
      <c r="K117" s="6" t="str">
        <f t="shared" si="3"/>
        <v/>
      </c>
    </row>
    <row r="118">
      <c r="A118" s="5"/>
      <c r="B118" s="5"/>
      <c r="C118" s="5"/>
      <c r="D118" s="5"/>
      <c r="E118" s="5"/>
      <c r="F118" s="3"/>
      <c r="G118" s="5"/>
      <c r="H118" s="5"/>
      <c r="I118" s="5" t="str">
        <f t="shared" si="4"/>
        <v/>
      </c>
      <c r="J118" s="6" t="str">
        <f t="shared" si="2"/>
        <v/>
      </c>
      <c r="K118" s="6" t="str">
        <f t="shared" si="3"/>
        <v/>
      </c>
    </row>
    <row r="119">
      <c r="A119" s="5"/>
      <c r="B119" s="5"/>
      <c r="C119" s="5"/>
      <c r="D119" s="5"/>
      <c r="E119" s="5"/>
      <c r="F119" s="3"/>
      <c r="G119" s="5"/>
      <c r="H119" s="5"/>
      <c r="I119" s="5" t="str">
        <f t="shared" si="4"/>
        <v/>
      </c>
      <c r="J119" s="6" t="str">
        <f t="shared" si="2"/>
        <v/>
      </c>
      <c r="K119" s="6" t="str">
        <f t="shared" si="3"/>
        <v/>
      </c>
    </row>
    <row r="120">
      <c r="A120" s="5"/>
      <c r="B120" s="5"/>
      <c r="C120" s="5"/>
      <c r="D120" s="5"/>
      <c r="E120" s="5"/>
      <c r="F120" s="3"/>
      <c r="G120" s="5"/>
      <c r="H120" s="5"/>
      <c r="I120" s="5" t="str">
        <f t="shared" si="4"/>
        <v/>
      </c>
      <c r="J120" s="6" t="str">
        <f t="shared" si="2"/>
        <v/>
      </c>
      <c r="K120" s="6" t="str">
        <f t="shared" si="3"/>
        <v/>
      </c>
    </row>
    <row r="121">
      <c r="A121" s="5"/>
      <c r="B121" s="5"/>
      <c r="C121" s="5"/>
      <c r="D121" s="5"/>
      <c r="E121" s="5"/>
      <c r="F121" s="3"/>
      <c r="G121" s="5"/>
      <c r="H121" s="5"/>
      <c r="I121" s="5" t="str">
        <f t="shared" si="4"/>
        <v/>
      </c>
      <c r="J121" s="6" t="str">
        <f t="shared" si="2"/>
        <v/>
      </c>
      <c r="K121" s="6" t="str">
        <f t="shared" si="3"/>
        <v/>
      </c>
    </row>
    <row r="122">
      <c r="A122" s="5"/>
      <c r="B122" s="5"/>
      <c r="C122" s="5"/>
      <c r="D122" s="5"/>
      <c r="E122" s="5"/>
      <c r="F122" s="3"/>
      <c r="G122" s="5"/>
      <c r="H122" s="5"/>
      <c r="I122" s="5" t="str">
        <f t="shared" si="4"/>
        <v/>
      </c>
      <c r="J122" s="6" t="str">
        <f t="shared" si="2"/>
        <v/>
      </c>
      <c r="K122" s="6" t="str">
        <f t="shared" si="3"/>
        <v/>
      </c>
    </row>
    <row r="123">
      <c r="A123" s="5"/>
      <c r="B123" s="5"/>
      <c r="C123" s="5"/>
      <c r="D123" s="5"/>
      <c r="E123" s="5"/>
      <c r="F123" s="3"/>
      <c r="G123" s="5"/>
      <c r="H123" s="5"/>
      <c r="I123" s="5" t="str">
        <f t="shared" si="4"/>
        <v/>
      </c>
      <c r="J123" s="6" t="str">
        <f t="shared" si="2"/>
        <v/>
      </c>
      <c r="K123" s="6" t="str">
        <f t="shared" si="3"/>
        <v/>
      </c>
    </row>
    <row r="124">
      <c r="A124" s="5"/>
      <c r="B124" s="5"/>
      <c r="C124" s="5"/>
      <c r="D124" s="5"/>
      <c r="E124" s="5"/>
      <c r="F124" s="3"/>
      <c r="G124" s="5"/>
      <c r="H124" s="5"/>
      <c r="I124" s="5" t="str">
        <f t="shared" si="4"/>
        <v/>
      </c>
      <c r="J124" s="6" t="str">
        <f t="shared" si="2"/>
        <v/>
      </c>
      <c r="K124" s="6" t="str">
        <f t="shared" si="3"/>
        <v/>
      </c>
    </row>
    <row r="125">
      <c r="A125" s="5"/>
      <c r="B125" s="5"/>
      <c r="C125" s="5"/>
      <c r="D125" s="5"/>
      <c r="E125" s="5"/>
      <c r="F125" s="3"/>
      <c r="G125" s="5"/>
      <c r="H125" s="5"/>
      <c r="I125" s="5" t="str">
        <f t="shared" si="4"/>
        <v/>
      </c>
      <c r="J125" s="6" t="str">
        <f t="shared" si="2"/>
        <v/>
      </c>
      <c r="K125" s="6" t="str">
        <f t="shared" si="3"/>
        <v/>
      </c>
    </row>
    <row r="126">
      <c r="A126" s="5"/>
      <c r="B126" s="5"/>
      <c r="C126" s="5"/>
      <c r="D126" s="5"/>
      <c r="E126" s="5"/>
      <c r="F126" s="3"/>
      <c r="G126" s="5"/>
      <c r="H126" s="5"/>
      <c r="I126" s="5" t="str">
        <f t="shared" si="4"/>
        <v/>
      </c>
      <c r="J126" s="6" t="str">
        <f t="shared" si="2"/>
        <v/>
      </c>
      <c r="K126" s="6" t="str">
        <f t="shared" si="3"/>
        <v/>
      </c>
    </row>
    <row r="127">
      <c r="A127" s="5"/>
      <c r="B127" s="5"/>
      <c r="C127" s="5"/>
      <c r="D127" s="5"/>
      <c r="E127" s="5"/>
      <c r="F127" s="3"/>
      <c r="G127" s="5"/>
      <c r="H127" s="5"/>
      <c r="I127" s="5" t="str">
        <f t="shared" si="4"/>
        <v/>
      </c>
      <c r="J127" s="6" t="str">
        <f t="shared" si="2"/>
        <v/>
      </c>
      <c r="K127" s="6" t="str">
        <f t="shared" si="3"/>
        <v/>
      </c>
    </row>
    <row r="128">
      <c r="A128" s="5"/>
      <c r="B128" s="5"/>
      <c r="C128" s="5"/>
      <c r="D128" s="5"/>
      <c r="E128" s="5"/>
      <c r="F128" s="3"/>
      <c r="G128" s="5"/>
      <c r="H128" s="5"/>
      <c r="I128" s="5" t="str">
        <f t="shared" si="4"/>
        <v/>
      </c>
      <c r="J128" s="6" t="str">
        <f t="shared" si="2"/>
        <v/>
      </c>
      <c r="K128" s="6" t="str">
        <f t="shared" si="3"/>
        <v/>
      </c>
    </row>
    <row r="129">
      <c r="A129" s="5"/>
      <c r="B129" s="5"/>
      <c r="C129" s="5"/>
      <c r="D129" s="5"/>
      <c r="E129" s="5"/>
      <c r="F129" s="3"/>
      <c r="G129" s="5"/>
      <c r="H129" s="5"/>
      <c r="I129" s="5" t="str">
        <f t="shared" si="4"/>
        <v/>
      </c>
      <c r="J129" s="6" t="str">
        <f t="shared" si="2"/>
        <v/>
      </c>
      <c r="K129" s="6" t="str">
        <f t="shared" si="3"/>
        <v/>
      </c>
    </row>
    <row r="130">
      <c r="A130" s="5"/>
      <c r="B130" s="5"/>
      <c r="C130" s="5"/>
      <c r="D130" s="5"/>
      <c r="E130" s="5"/>
      <c r="F130" s="3"/>
      <c r="G130" s="5"/>
      <c r="H130" s="5"/>
      <c r="I130" s="5" t="str">
        <f t="shared" si="4"/>
        <v/>
      </c>
      <c r="J130" s="6" t="str">
        <f t="shared" si="2"/>
        <v/>
      </c>
      <c r="K130" s="6" t="str">
        <f t="shared" si="3"/>
        <v/>
      </c>
    </row>
    <row r="131">
      <c r="A131" s="5"/>
      <c r="B131" s="5"/>
      <c r="C131" s="5"/>
      <c r="D131" s="5"/>
      <c r="E131" s="5"/>
      <c r="F131" s="3"/>
      <c r="G131" s="5"/>
      <c r="H131" s="5"/>
      <c r="I131" s="5" t="str">
        <f t="shared" si="4"/>
        <v/>
      </c>
      <c r="J131" s="6" t="str">
        <f t="shared" si="2"/>
        <v/>
      </c>
      <c r="K131" s="6" t="str">
        <f t="shared" si="3"/>
        <v/>
      </c>
    </row>
    <row r="132">
      <c r="A132" s="5"/>
      <c r="B132" s="5"/>
      <c r="C132" s="5"/>
      <c r="D132" s="5"/>
      <c r="E132" s="5"/>
      <c r="F132" s="3"/>
      <c r="G132" s="5"/>
      <c r="H132" s="5"/>
      <c r="I132" s="5" t="str">
        <f t="shared" si="4"/>
        <v/>
      </c>
      <c r="J132" s="6" t="str">
        <f t="shared" si="2"/>
        <v/>
      </c>
      <c r="K132" s="6" t="str">
        <f t="shared" si="3"/>
        <v/>
      </c>
    </row>
    <row r="133">
      <c r="A133" s="5"/>
      <c r="B133" s="5"/>
      <c r="C133" s="5"/>
      <c r="D133" s="5"/>
      <c r="E133" s="5"/>
      <c r="F133" s="3"/>
      <c r="G133" s="5"/>
      <c r="H133" s="5"/>
      <c r="I133" s="5" t="str">
        <f t="shared" si="4"/>
        <v/>
      </c>
      <c r="J133" s="6" t="str">
        <f t="shared" si="2"/>
        <v/>
      </c>
      <c r="K133" s="6" t="str">
        <f t="shared" si="3"/>
        <v/>
      </c>
    </row>
    <row r="134">
      <c r="A134" s="5"/>
      <c r="B134" s="5"/>
      <c r="C134" s="5"/>
      <c r="D134" s="5"/>
      <c r="E134" s="5"/>
      <c r="F134" s="3"/>
      <c r="G134" s="5"/>
      <c r="H134" s="5"/>
      <c r="I134" s="5" t="str">
        <f t="shared" si="4"/>
        <v/>
      </c>
      <c r="J134" s="6" t="str">
        <f t="shared" si="2"/>
        <v/>
      </c>
      <c r="K134" s="6" t="str">
        <f t="shared" si="3"/>
        <v/>
      </c>
    </row>
    <row r="135">
      <c r="A135" s="5"/>
      <c r="B135" s="5"/>
      <c r="C135" s="5"/>
      <c r="D135" s="5"/>
      <c r="E135" s="5"/>
      <c r="F135" s="3"/>
      <c r="G135" s="5"/>
      <c r="H135" s="5"/>
      <c r="I135" s="5" t="str">
        <f t="shared" si="4"/>
        <v/>
      </c>
      <c r="J135" s="6" t="str">
        <f t="shared" si="2"/>
        <v/>
      </c>
      <c r="K135" s="6" t="str">
        <f t="shared" si="3"/>
        <v/>
      </c>
    </row>
    <row r="136">
      <c r="A136" s="5"/>
      <c r="B136" s="5"/>
      <c r="C136" s="5"/>
      <c r="D136" s="5"/>
      <c r="E136" s="5"/>
      <c r="F136" s="3"/>
      <c r="G136" s="5"/>
      <c r="H136" s="5"/>
      <c r="I136" s="5" t="str">
        <f t="shared" si="4"/>
        <v/>
      </c>
      <c r="J136" s="6" t="str">
        <f t="shared" si="2"/>
        <v/>
      </c>
      <c r="K136" s="6" t="str">
        <f t="shared" si="3"/>
        <v/>
      </c>
    </row>
    <row r="137">
      <c r="A137" s="5"/>
      <c r="B137" s="5"/>
      <c r="C137" s="5"/>
      <c r="D137" s="5"/>
      <c r="E137" s="5"/>
      <c r="F137" s="3"/>
      <c r="G137" s="5"/>
      <c r="H137" s="5"/>
      <c r="I137" s="5" t="str">
        <f t="shared" si="4"/>
        <v/>
      </c>
      <c r="J137" s="6" t="str">
        <f t="shared" si="2"/>
        <v/>
      </c>
      <c r="K137" s="6" t="str">
        <f t="shared" si="3"/>
        <v/>
      </c>
    </row>
    <row r="138">
      <c r="A138" s="5"/>
      <c r="B138" s="5"/>
      <c r="C138" s="5"/>
      <c r="D138" s="5"/>
      <c r="E138" s="5"/>
      <c r="F138" s="3"/>
      <c r="G138" s="5"/>
      <c r="H138" s="5"/>
      <c r="I138" s="5" t="str">
        <f t="shared" si="4"/>
        <v/>
      </c>
      <c r="J138" s="6" t="str">
        <f t="shared" si="2"/>
        <v/>
      </c>
      <c r="K138" s="6" t="str">
        <f t="shared" si="3"/>
        <v/>
      </c>
    </row>
    <row r="139">
      <c r="A139" s="5"/>
      <c r="B139" s="5"/>
      <c r="C139" s="5"/>
      <c r="D139" s="5"/>
      <c r="E139" s="5"/>
      <c r="F139" s="3"/>
      <c r="G139" s="5"/>
      <c r="H139" s="5"/>
      <c r="I139" s="5" t="str">
        <f t="shared" si="4"/>
        <v/>
      </c>
      <c r="J139" s="6" t="str">
        <f t="shared" si="2"/>
        <v/>
      </c>
      <c r="K139" s="6" t="str">
        <f t="shared" si="3"/>
        <v/>
      </c>
    </row>
    <row r="140">
      <c r="A140" s="5"/>
      <c r="B140" s="5"/>
      <c r="C140" s="5"/>
      <c r="D140" s="5"/>
      <c r="E140" s="5"/>
      <c r="F140" s="3"/>
      <c r="G140" s="5"/>
      <c r="H140" s="5"/>
      <c r="I140" s="5" t="str">
        <f t="shared" si="4"/>
        <v/>
      </c>
      <c r="J140" s="6" t="str">
        <f t="shared" si="2"/>
        <v/>
      </c>
      <c r="K140" s="6" t="str">
        <f t="shared" si="3"/>
        <v/>
      </c>
    </row>
    <row r="141">
      <c r="A141" s="5"/>
      <c r="B141" s="5"/>
      <c r="C141" s="5"/>
      <c r="D141" s="5"/>
      <c r="E141" s="5"/>
      <c r="F141" s="3"/>
      <c r="G141" s="5"/>
      <c r="H141" s="5"/>
      <c r="I141" s="5" t="str">
        <f t="shared" si="4"/>
        <v/>
      </c>
      <c r="J141" s="6" t="str">
        <f t="shared" si="2"/>
        <v/>
      </c>
      <c r="K141" s="6" t="str">
        <f t="shared" si="3"/>
        <v/>
      </c>
    </row>
    <row r="142">
      <c r="A142" s="5"/>
      <c r="B142" s="5"/>
      <c r="C142" s="5"/>
      <c r="D142" s="5"/>
      <c r="E142" s="5"/>
      <c r="F142" s="3"/>
      <c r="G142" s="5"/>
      <c r="H142" s="5"/>
      <c r="I142" s="5" t="str">
        <f t="shared" si="4"/>
        <v/>
      </c>
      <c r="J142" s="6" t="str">
        <f t="shared" si="2"/>
        <v/>
      </c>
      <c r="K142" s="6" t="str">
        <f t="shared" si="3"/>
        <v/>
      </c>
    </row>
    <row r="143">
      <c r="A143" s="5"/>
      <c r="B143" s="5"/>
      <c r="C143" s="5"/>
      <c r="D143" s="5"/>
      <c r="E143" s="5"/>
      <c r="F143" s="3"/>
      <c r="G143" s="5"/>
      <c r="H143" s="5"/>
      <c r="I143" s="5" t="str">
        <f t="shared" si="4"/>
        <v/>
      </c>
      <c r="J143" s="6" t="str">
        <f t="shared" si="2"/>
        <v/>
      </c>
      <c r="K143" s="6" t="str">
        <f t="shared" si="3"/>
        <v/>
      </c>
    </row>
    <row r="144">
      <c r="A144" s="5"/>
      <c r="B144" s="5"/>
      <c r="C144" s="5"/>
      <c r="D144" s="5"/>
      <c r="E144" s="5"/>
      <c r="F144" s="3"/>
      <c r="G144" s="5"/>
      <c r="H144" s="5"/>
      <c r="I144" s="5" t="str">
        <f t="shared" si="4"/>
        <v/>
      </c>
      <c r="J144" s="6" t="str">
        <f t="shared" si="2"/>
        <v/>
      </c>
      <c r="K144" s="6" t="str">
        <f t="shared" si="3"/>
        <v/>
      </c>
    </row>
    <row r="145">
      <c r="A145" s="5"/>
      <c r="B145" s="5"/>
      <c r="C145" s="5"/>
      <c r="D145" s="5"/>
      <c r="E145" s="5"/>
      <c r="F145" s="3"/>
      <c r="G145" s="5"/>
      <c r="H145" s="5"/>
      <c r="I145" s="5" t="str">
        <f t="shared" si="4"/>
        <v/>
      </c>
      <c r="J145" s="6" t="str">
        <f t="shared" si="2"/>
        <v/>
      </c>
      <c r="K145" s="6" t="str">
        <f t="shared" si="3"/>
        <v/>
      </c>
    </row>
    <row r="146">
      <c r="A146" s="5"/>
      <c r="B146" s="5"/>
      <c r="C146" s="5"/>
      <c r="D146" s="5"/>
      <c r="E146" s="5"/>
      <c r="F146" s="3"/>
      <c r="G146" s="5"/>
      <c r="H146" s="5"/>
      <c r="I146" s="5" t="str">
        <f t="shared" si="4"/>
        <v/>
      </c>
      <c r="J146" s="6" t="str">
        <f t="shared" si="2"/>
        <v/>
      </c>
      <c r="K146" s="6" t="str">
        <f t="shared" si="3"/>
        <v/>
      </c>
    </row>
    <row r="147">
      <c r="A147" s="5"/>
      <c r="B147" s="5"/>
      <c r="C147" s="5"/>
      <c r="D147" s="5"/>
      <c r="E147" s="5"/>
      <c r="F147" s="3"/>
      <c r="G147" s="5"/>
      <c r="H147" s="5"/>
      <c r="I147" s="5" t="str">
        <f t="shared" si="4"/>
        <v/>
      </c>
      <c r="J147" s="6" t="str">
        <f t="shared" si="2"/>
        <v/>
      </c>
      <c r="K147" s="6" t="str">
        <f t="shared" si="3"/>
        <v/>
      </c>
    </row>
    <row r="148">
      <c r="A148" s="5"/>
      <c r="B148" s="5"/>
      <c r="C148" s="5"/>
      <c r="D148" s="5"/>
      <c r="E148" s="5"/>
      <c r="F148" s="3"/>
      <c r="G148" s="5"/>
      <c r="H148" s="5"/>
      <c r="I148" s="5" t="str">
        <f t="shared" si="4"/>
        <v/>
      </c>
      <c r="J148" s="6" t="str">
        <f t="shared" si="2"/>
        <v/>
      </c>
      <c r="K148" s="6" t="str">
        <f t="shared" si="3"/>
        <v/>
      </c>
    </row>
    <row r="149">
      <c r="A149" s="5"/>
      <c r="B149" s="5"/>
      <c r="C149" s="5"/>
      <c r="D149" s="5"/>
      <c r="E149" s="5"/>
      <c r="F149" s="3"/>
      <c r="G149" s="5"/>
      <c r="H149" s="5"/>
      <c r="I149" s="5" t="str">
        <f t="shared" si="4"/>
        <v/>
      </c>
      <c r="J149" s="6" t="str">
        <f t="shared" si="2"/>
        <v/>
      </c>
      <c r="K149" s="6" t="str">
        <f t="shared" si="3"/>
        <v/>
      </c>
    </row>
    <row r="150">
      <c r="A150" s="5"/>
      <c r="B150" s="5"/>
      <c r="C150" s="5"/>
      <c r="D150" s="5"/>
      <c r="E150" s="5"/>
      <c r="F150" s="3"/>
      <c r="G150" s="5"/>
      <c r="H150" s="5"/>
      <c r="I150" s="5" t="str">
        <f t="shared" si="4"/>
        <v/>
      </c>
      <c r="J150" s="6" t="str">
        <f t="shared" si="2"/>
        <v/>
      </c>
      <c r="K150" s="6" t="str">
        <f t="shared" si="3"/>
        <v/>
      </c>
    </row>
    <row r="151">
      <c r="A151" s="5"/>
      <c r="B151" s="5"/>
      <c r="C151" s="5"/>
      <c r="D151" s="5"/>
      <c r="E151" s="5"/>
      <c r="F151" s="3"/>
      <c r="G151" s="5"/>
      <c r="H151" s="5"/>
      <c r="I151" s="5" t="str">
        <f t="shared" si="4"/>
        <v/>
      </c>
      <c r="J151" s="6" t="str">
        <f t="shared" si="2"/>
        <v/>
      </c>
      <c r="K151" s="6" t="str">
        <f t="shared" si="3"/>
        <v/>
      </c>
    </row>
    <row r="152">
      <c r="A152" s="5"/>
      <c r="B152" s="5"/>
      <c r="C152" s="5"/>
      <c r="D152" s="5"/>
      <c r="E152" s="5"/>
      <c r="F152" s="3"/>
      <c r="G152" s="5"/>
      <c r="H152" s="5"/>
      <c r="I152" s="5" t="str">
        <f t="shared" si="4"/>
        <v/>
      </c>
      <c r="J152" s="6" t="str">
        <f t="shared" si="2"/>
        <v/>
      </c>
      <c r="K152" s="6" t="str">
        <f t="shared" si="3"/>
        <v/>
      </c>
    </row>
    <row r="153">
      <c r="A153" s="5"/>
      <c r="B153" s="5"/>
      <c r="C153" s="5"/>
      <c r="D153" s="5"/>
      <c r="E153" s="5"/>
      <c r="F153" s="3"/>
      <c r="G153" s="5"/>
      <c r="H153" s="5"/>
      <c r="I153" s="5" t="str">
        <f t="shared" si="4"/>
        <v/>
      </c>
      <c r="J153" s="6" t="str">
        <f t="shared" si="2"/>
        <v/>
      </c>
      <c r="K153" s="6" t="str">
        <f t="shared" si="3"/>
        <v/>
      </c>
    </row>
    <row r="154">
      <c r="A154" s="5"/>
      <c r="B154" s="5"/>
      <c r="C154" s="5"/>
      <c r="D154" s="5"/>
      <c r="E154" s="5"/>
      <c r="F154" s="3"/>
      <c r="G154" s="5"/>
      <c r="H154" s="5"/>
      <c r="I154" s="5" t="str">
        <f t="shared" si="4"/>
        <v/>
      </c>
      <c r="J154" s="6" t="str">
        <f t="shared" si="2"/>
        <v/>
      </c>
      <c r="K154" s="6" t="str">
        <f t="shared" si="3"/>
        <v/>
      </c>
    </row>
    <row r="155">
      <c r="A155" s="5"/>
      <c r="B155" s="5"/>
      <c r="C155" s="5"/>
      <c r="D155" s="5"/>
      <c r="E155" s="5"/>
      <c r="F155" s="3"/>
      <c r="G155" s="5"/>
      <c r="H155" s="5"/>
      <c r="I155" s="5" t="str">
        <f t="shared" si="4"/>
        <v/>
      </c>
      <c r="J155" s="6" t="str">
        <f t="shared" si="2"/>
        <v/>
      </c>
      <c r="K155" s="6" t="str">
        <f t="shared" si="3"/>
        <v/>
      </c>
    </row>
    <row r="156">
      <c r="A156" s="5"/>
      <c r="B156" s="5"/>
      <c r="C156" s="5"/>
      <c r="D156" s="5"/>
      <c r="E156" s="5"/>
      <c r="F156" s="3"/>
      <c r="G156" s="5"/>
      <c r="H156" s="5"/>
      <c r="I156" s="5" t="str">
        <f t="shared" si="4"/>
        <v/>
      </c>
      <c r="J156" s="6" t="str">
        <f t="shared" si="2"/>
        <v/>
      </c>
      <c r="K156" s="6" t="str">
        <f t="shared" si="3"/>
        <v/>
      </c>
    </row>
    <row r="157">
      <c r="A157" s="5"/>
      <c r="B157" s="5"/>
      <c r="C157" s="5"/>
      <c r="D157" s="5"/>
      <c r="E157" s="5"/>
      <c r="F157" s="3"/>
      <c r="G157" s="5"/>
      <c r="H157" s="5"/>
      <c r="I157" s="5" t="str">
        <f t="shared" si="4"/>
        <v/>
      </c>
      <c r="J157" s="6" t="str">
        <f t="shared" si="2"/>
        <v/>
      </c>
      <c r="K157" s="6" t="str">
        <f t="shared" si="3"/>
        <v/>
      </c>
    </row>
    <row r="158">
      <c r="A158" s="5"/>
      <c r="B158" s="5"/>
      <c r="C158" s="5"/>
      <c r="D158" s="5"/>
      <c r="E158" s="5"/>
      <c r="F158" s="3"/>
      <c r="G158" s="5"/>
      <c r="H158" s="5"/>
      <c r="I158" s="5" t="str">
        <f t="shared" si="4"/>
        <v/>
      </c>
      <c r="J158" s="6" t="str">
        <f t="shared" si="2"/>
        <v/>
      </c>
      <c r="K158" s="6" t="str">
        <f t="shared" si="3"/>
        <v/>
      </c>
    </row>
    <row r="159">
      <c r="A159" s="5"/>
      <c r="B159" s="5"/>
      <c r="C159" s="5"/>
      <c r="D159" s="5"/>
      <c r="E159" s="5"/>
      <c r="F159" s="3"/>
      <c r="G159" s="5"/>
      <c r="H159" s="5"/>
      <c r="I159" s="5" t="str">
        <f t="shared" si="4"/>
        <v/>
      </c>
      <c r="J159" s="6" t="str">
        <f t="shared" si="2"/>
        <v/>
      </c>
      <c r="K159" s="6" t="str">
        <f t="shared" si="3"/>
        <v/>
      </c>
    </row>
    <row r="160">
      <c r="A160" s="5"/>
      <c r="B160" s="5"/>
      <c r="C160" s="5"/>
      <c r="D160" s="5"/>
      <c r="E160" s="5"/>
      <c r="F160" s="3"/>
      <c r="G160" s="5"/>
      <c r="H160" s="5"/>
      <c r="I160" s="5" t="str">
        <f t="shared" si="4"/>
        <v/>
      </c>
      <c r="J160" s="6" t="str">
        <f t="shared" si="2"/>
        <v/>
      </c>
      <c r="K160" s="6" t="str">
        <f t="shared" si="3"/>
        <v/>
      </c>
    </row>
    <row r="161">
      <c r="A161" s="5"/>
      <c r="B161" s="5"/>
      <c r="C161" s="5"/>
      <c r="D161" s="5"/>
      <c r="E161" s="5"/>
      <c r="F161" s="3"/>
      <c r="G161" s="5"/>
      <c r="H161" s="5"/>
      <c r="I161" s="5" t="str">
        <f t="shared" si="4"/>
        <v/>
      </c>
      <c r="J161" s="6" t="str">
        <f t="shared" si="2"/>
        <v/>
      </c>
      <c r="K161" s="6" t="str">
        <f t="shared" si="3"/>
        <v/>
      </c>
    </row>
    <row r="162">
      <c r="A162" s="5"/>
      <c r="B162" s="5"/>
      <c r="C162" s="5"/>
      <c r="D162" s="5"/>
      <c r="E162" s="5"/>
      <c r="F162" s="3"/>
      <c r="G162" s="5"/>
      <c r="H162" s="5"/>
      <c r="I162" s="5" t="str">
        <f t="shared" si="4"/>
        <v/>
      </c>
      <c r="J162" s="6" t="str">
        <f t="shared" si="2"/>
        <v/>
      </c>
      <c r="K162" s="6" t="str">
        <f t="shared" si="3"/>
        <v/>
      </c>
    </row>
    <row r="163">
      <c r="A163" s="5"/>
      <c r="B163" s="5"/>
      <c r="C163" s="5"/>
      <c r="D163" s="5"/>
      <c r="E163" s="5"/>
      <c r="F163" s="3"/>
      <c r="G163" s="5"/>
      <c r="H163" s="5"/>
      <c r="I163" s="5" t="str">
        <f t="shared" si="4"/>
        <v/>
      </c>
      <c r="J163" s="6" t="str">
        <f t="shared" si="2"/>
        <v/>
      </c>
      <c r="K163" s="6" t="str">
        <f t="shared" si="3"/>
        <v/>
      </c>
    </row>
    <row r="164">
      <c r="A164" s="5"/>
      <c r="B164" s="5"/>
      <c r="C164" s="5"/>
      <c r="D164" s="5"/>
      <c r="E164" s="5"/>
      <c r="F164" s="3"/>
      <c r="G164" s="5"/>
      <c r="H164" s="5"/>
      <c r="I164" s="5" t="str">
        <f t="shared" si="4"/>
        <v/>
      </c>
      <c r="J164" s="6" t="str">
        <f t="shared" si="2"/>
        <v/>
      </c>
      <c r="K164" s="6" t="str">
        <f t="shared" si="3"/>
        <v/>
      </c>
    </row>
    <row r="165">
      <c r="A165" s="5"/>
      <c r="B165" s="5"/>
      <c r="C165" s="5"/>
      <c r="D165" s="5"/>
      <c r="E165" s="5"/>
      <c r="F165" s="3"/>
      <c r="G165" s="5"/>
      <c r="H165" s="5"/>
      <c r="I165" s="5" t="str">
        <f t="shared" si="4"/>
        <v/>
      </c>
      <c r="J165" s="6" t="str">
        <f t="shared" si="2"/>
        <v/>
      </c>
      <c r="K165" s="6" t="str">
        <f t="shared" si="3"/>
        <v/>
      </c>
    </row>
    <row r="166">
      <c r="A166" s="5"/>
      <c r="B166" s="5"/>
      <c r="C166" s="5"/>
      <c r="D166" s="5"/>
      <c r="E166" s="5"/>
      <c r="F166" s="3"/>
      <c r="G166" s="5"/>
      <c r="H166" s="5"/>
      <c r="I166" s="5" t="str">
        <f t="shared" si="4"/>
        <v/>
      </c>
      <c r="J166" s="6" t="str">
        <f t="shared" si="2"/>
        <v/>
      </c>
      <c r="K166" s="6" t="str">
        <f t="shared" si="3"/>
        <v/>
      </c>
    </row>
    <row r="167">
      <c r="A167" s="5"/>
      <c r="B167" s="5"/>
      <c r="C167" s="5"/>
      <c r="D167" s="5"/>
      <c r="E167" s="5"/>
      <c r="F167" s="3"/>
      <c r="G167" s="5"/>
      <c r="H167" s="5"/>
      <c r="I167" s="5" t="str">
        <f t="shared" si="4"/>
        <v/>
      </c>
      <c r="J167" s="6" t="str">
        <f t="shared" si="2"/>
        <v/>
      </c>
      <c r="K167" s="6" t="str">
        <f t="shared" si="3"/>
        <v/>
      </c>
    </row>
    <row r="168">
      <c r="A168" s="5"/>
      <c r="B168" s="5"/>
      <c r="C168" s="5"/>
      <c r="D168" s="5"/>
      <c r="E168" s="5"/>
      <c r="F168" s="3"/>
      <c r="G168" s="5"/>
      <c r="H168" s="5"/>
      <c r="I168" s="5" t="str">
        <f t="shared" si="4"/>
        <v/>
      </c>
      <c r="J168" s="6" t="str">
        <f t="shared" si="2"/>
        <v/>
      </c>
      <c r="K168" s="6" t="str">
        <f t="shared" si="3"/>
        <v/>
      </c>
    </row>
    <row r="169">
      <c r="A169" s="5"/>
      <c r="B169" s="5"/>
      <c r="C169" s="5"/>
      <c r="D169" s="5"/>
      <c r="E169" s="5"/>
      <c r="F169" s="3"/>
      <c r="G169" s="5"/>
      <c r="H169" s="5"/>
      <c r="I169" s="5" t="str">
        <f t="shared" si="4"/>
        <v/>
      </c>
      <c r="J169" s="6" t="str">
        <f t="shared" si="2"/>
        <v/>
      </c>
      <c r="K169" s="6" t="str">
        <f t="shared" si="3"/>
        <v/>
      </c>
    </row>
    <row r="170">
      <c r="A170" s="5"/>
      <c r="B170" s="5"/>
      <c r="C170" s="5"/>
      <c r="D170" s="5"/>
      <c r="E170" s="5"/>
      <c r="F170" s="3"/>
      <c r="G170" s="5"/>
      <c r="H170" s="5"/>
      <c r="I170" s="5" t="str">
        <f t="shared" si="4"/>
        <v/>
      </c>
      <c r="J170" s="6" t="str">
        <f t="shared" si="2"/>
        <v/>
      </c>
      <c r="K170" s="6" t="str">
        <f t="shared" si="3"/>
        <v/>
      </c>
    </row>
    <row r="171">
      <c r="A171" s="5"/>
      <c r="B171" s="5"/>
      <c r="C171" s="5"/>
      <c r="D171" s="5"/>
      <c r="E171" s="5"/>
      <c r="F171" s="3"/>
      <c r="G171" s="5"/>
      <c r="H171" s="5"/>
      <c r="I171" s="5" t="str">
        <f t="shared" si="4"/>
        <v/>
      </c>
      <c r="J171" s="6" t="str">
        <f t="shared" si="2"/>
        <v/>
      </c>
      <c r="K171" s="6" t="str">
        <f t="shared" si="3"/>
        <v/>
      </c>
    </row>
    <row r="172">
      <c r="A172" s="5"/>
      <c r="B172" s="5"/>
      <c r="C172" s="5"/>
      <c r="D172" s="5"/>
      <c r="E172" s="5"/>
      <c r="F172" s="3"/>
      <c r="G172" s="5"/>
      <c r="H172" s="5"/>
      <c r="I172" s="5" t="str">
        <f t="shared" si="4"/>
        <v/>
      </c>
      <c r="J172" s="6" t="str">
        <f t="shared" si="2"/>
        <v/>
      </c>
      <c r="K172" s="6" t="str">
        <f t="shared" si="3"/>
        <v/>
      </c>
    </row>
    <row r="173">
      <c r="A173" s="5"/>
      <c r="B173" s="5"/>
      <c r="C173" s="5"/>
      <c r="D173" s="5"/>
      <c r="E173" s="5"/>
      <c r="F173" s="3"/>
      <c r="G173" s="5"/>
      <c r="H173" s="5"/>
      <c r="I173" s="5" t="str">
        <f t="shared" si="4"/>
        <v/>
      </c>
      <c r="J173" s="6" t="str">
        <f t="shared" si="2"/>
        <v/>
      </c>
      <c r="K173" s="6" t="str">
        <f t="shared" si="3"/>
        <v/>
      </c>
    </row>
    <row r="174">
      <c r="A174" s="5"/>
      <c r="B174" s="5"/>
      <c r="C174" s="5"/>
      <c r="D174" s="5"/>
      <c r="E174" s="5"/>
      <c r="F174" s="3"/>
      <c r="G174" s="5"/>
      <c r="H174" s="5"/>
      <c r="I174" s="5" t="str">
        <f t="shared" si="4"/>
        <v/>
      </c>
      <c r="J174" s="6" t="str">
        <f t="shared" si="2"/>
        <v/>
      </c>
      <c r="K174" s="6" t="str">
        <f t="shared" si="3"/>
        <v/>
      </c>
    </row>
    <row r="175">
      <c r="A175" s="5"/>
      <c r="B175" s="5"/>
      <c r="C175" s="5"/>
      <c r="D175" s="5"/>
      <c r="E175" s="5"/>
      <c r="F175" s="3"/>
      <c r="G175" s="5"/>
      <c r="H175" s="5"/>
      <c r="I175" s="5" t="str">
        <f t="shared" si="4"/>
        <v/>
      </c>
      <c r="J175" s="6" t="str">
        <f t="shared" si="2"/>
        <v/>
      </c>
      <c r="K175" s="6" t="str">
        <f t="shared" si="3"/>
        <v/>
      </c>
    </row>
    <row r="176">
      <c r="A176" s="5"/>
      <c r="B176" s="5"/>
      <c r="C176" s="5"/>
      <c r="D176" s="5"/>
      <c r="E176" s="5"/>
      <c r="F176" s="3"/>
      <c r="G176" s="5"/>
      <c r="H176" s="5"/>
      <c r="I176" s="5" t="str">
        <f t="shared" si="4"/>
        <v/>
      </c>
      <c r="J176" s="6" t="str">
        <f t="shared" si="2"/>
        <v/>
      </c>
      <c r="K176" s="6" t="str">
        <f t="shared" si="3"/>
        <v/>
      </c>
    </row>
    <row r="177">
      <c r="A177" s="5"/>
      <c r="B177" s="5"/>
      <c r="C177" s="5"/>
      <c r="D177" s="5"/>
      <c r="E177" s="5"/>
      <c r="F177" s="3"/>
      <c r="G177" s="5"/>
      <c r="H177" s="5"/>
      <c r="I177" s="5" t="str">
        <f t="shared" si="4"/>
        <v/>
      </c>
      <c r="J177" s="6" t="str">
        <f t="shared" si="2"/>
        <v/>
      </c>
      <c r="K177" s="6" t="str">
        <f t="shared" si="3"/>
        <v/>
      </c>
    </row>
    <row r="178">
      <c r="A178" s="5"/>
      <c r="B178" s="5"/>
      <c r="C178" s="5"/>
      <c r="D178" s="5"/>
      <c r="E178" s="5"/>
      <c r="F178" s="3"/>
      <c r="G178" s="5"/>
      <c r="H178" s="5"/>
      <c r="I178" s="5" t="str">
        <f t="shared" si="4"/>
        <v/>
      </c>
      <c r="J178" s="6" t="str">
        <f t="shared" si="2"/>
        <v/>
      </c>
      <c r="K178" s="6" t="str">
        <f t="shared" si="3"/>
        <v/>
      </c>
    </row>
    <row r="179">
      <c r="A179" s="5"/>
      <c r="B179" s="5"/>
      <c r="C179" s="5"/>
      <c r="D179" s="5"/>
      <c r="E179" s="5"/>
      <c r="F179" s="3"/>
      <c r="G179" s="5"/>
      <c r="H179" s="5"/>
      <c r="I179" s="5" t="str">
        <f t="shared" si="4"/>
        <v/>
      </c>
      <c r="J179" s="6" t="str">
        <f t="shared" si="2"/>
        <v/>
      </c>
      <c r="K179" s="6" t="str">
        <f t="shared" si="3"/>
        <v/>
      </c>
    </row>
    <row r="180">
      <c r="A180" s="5"/>
      <c r="B180" s="5"/>
      <c r="C180" s="5"/>
      <c r="D180" s="5"/>
      <c r="E180" s="5"/>
      <c r="F180" s="3"/>
      <c r="G180" s="5"/>
      <c r="H180" s="5"/>
      <c r="I180" s="5" t="str">
        <f t="shared" si="4"/>
        <v/>
      </c>
      <c r="J180" s="6" t="str">
        <f t="shared" si="2"/>
        <v/>
      </c>
      <c r="K180" s="6" t="str">
        <f t="shared" si="3"/>
        <v/>
      </c>
    </row>
    <row r="181">
      <c r="A181" s="5"/>
      <c r="B181" s="5"/>
      <c r="C181" s="5"/>
      <c r="D181" s="5"/>
      <c r="E181" s="5"/>
      <c r="F181" s="3"/>
      <c r="G181" s="5"/>
      <c r="H181" s="5"/>
      <c r="I181" s="5" t="str">
        <f t="shared" si="4"/>
        <v/>
      </c>
      <c r="J181" s="6" t="str">
        <f t="shared" si="2"/>
        <v/>
      </c>
      <c r="K181" s="6" t="str">
        <f t="shared" si="3"/>
        <v/>
      </c>
    </row>
    <row r="182">
      <c r="A182" s="5"/>
      <c r="B182" s="5"/>
      <c r="C182" s="5"/>
      <c r="D182" s="5"/>
      <c r="E182" s="5"/>
      <c r="F182" s="3"/>
      <c r="G182" s="5"/>
      <c r="H182" s="5"/>
      <c r="I182" s="5" t="str">
        <f t="shared" si="4"/>
        <v/>
      </c>
      <c r="J182" s="6" t="str">
        <f t="shared" si="2"/>
        <v/>
      </c>
      <c r="K182" s="6" t="str">
        <f t="shared" si="3"/>
        <v/>
      </c>
    </row>
    <row r="183">
      <c r="A183" s="5"/>
      <c r="B183" s="5"/>
      <c r="C183" s="5"/>
      <c r="D183" s="5"/>
      <c r="E183" s="5"/>
      <c r="F183" s="3"/>
      <c r="G183" s="5"/>
      <c r="H183" s="5"/>
      <c r="I183" s="5" t="str">
        <f t="shared" si="4"/>
        <v/>
      </c>
      <c r="J183" s="6" t="str">
        <f t="shared" si="2"/>
        <v/>
      </c>
      <c r="K183" s="6" t="str">
        <f t="shared" si="3"/>
        <v/>
      </c>
    </row>
    <row r="184">
      <c r="A184" s="5"/>
      <c r="B184" s="5"/>
      <c r="C184" s="5"/>
      <c r="D184" s="5"/>
      <c r="E184" s="5"/>
      <c r="F184" s="3"/>
      <c r="G184" s="5"/>
      <c r="H184" s="5"/>
      <c r="I184" s="5" t="str">
        <f t="shared" si="4"/>
        <v/>
      </c>
      <c r="J184" s="6" t="str">
        <f t="shared" si="2"/>
        <v/>
      </c>
      <c r="K184" s="6" t="str">
        <f t="shared" si="3"/>
        <v/>
      </c>
    </row>
    <row r="185">
      <c r="A185" s="5"/>
      <c r="B185" s="5"/>
      <c r="C185" s="5"/>
      <c r="D185" s="5"/>
      <c r="E185" s="5"/>
      <c r="F185" s="3"/>
      <c r="G185" s="5"/>
      <c r="H185" s="5"/>
      <c r="I185" s="5" t="str">
        <f t="shared" si="4"/>
        <v/>
      </c>
      <c r="J185" s="6" t="str">
        <f t="shared" si="2"/>
        <v/>
      </c>
      <c r="K185" s="6" t="str">
        <f t="shared" si="3"/>
        <v/>
      </c>
    </row>
    <row r="186">
      <c r="A186" s="5"/>
      <c r="B186" s="5"/>
      <c r="C186" s="5"/>
      <c r="D186" s="5"/>
      <c r="E186" s="5"/>
      <c r="F186" s="3"/>
      <c r="G186" s="5"/>
      <c r="H186" s="5"/>
      <c r="I186" s="5" t="str">
        <f t="shared" si="4"/>
        <v/>
      </c>
      <c r="J186" s="6" t="str">
        <f t="shared" si="2"/>
        <v/>
      </c>
      <c r="K186" s="6" t="str">
        <f t="shared" si="3"/>
        <v/>
      </c>
    </row>
    <row r="187">
      <c r="A187" s="5"/>
      <c r="B187" s="5"/>
      <c r="C187" s="5"/>
      <c r="D187" s="5"/>
      <c r="E187" s="5"/>
      <c r="F187" s="3"/>
      <c r="G187" s="5"/>
      <c r="H187" s="5"/>
      <c r="I187" s="5" t="str">
        <f t="shared" si="4"/>
        <v/>
      </c>
      <c r="J187" s="6" t="str">
        <f t="shared" si="2"/>
        <v/>
      </c>
      <c r="K187" s="6" t="str">
        <f t="shared" si="3"/>
        <v/>
      </c>
    </row>
    <row r="188">
      <c r="A188" s="5"/>
      <c r="B188" s="5"/>
      <c r="C188" s="5"/>
      <c r="D188" s="5"/>
      <c r="E188" s="5"/>
      <c r="F188" s="3"/>
      <c r="G188" s="5"/>
      <c r="H188" s="5"/>
      <c r="I188" s="5" t="str">
        <f t="shared" si="4"/>
        <v/>
      </c>
      <c r="J188" s="6" t="str">
        <f t="shared" si="2"/>
        <v/>
      </c>
      <c r="K188" s="6" t="str">
        <f t="shared" si="3"/>
        <v/>
      </c>
    </row>
    <row r="189">
      <c r="A189" s="5"/>
      <c r="B189" s="5"/>
      <c r="C189" s="5"/>
      <c r="D189" s="5"/>
      <c r="E189" s="5"/>
      <c r="F189" s="3"/>
      <c r="G189" s="5"/>
      <c r="H189" s="5"/>
      <c r="I189" s="5" t="str">
        <f t="shared" si="4"/>
        <v/>
      </c>
      <c r="J189" s="6" t="str">
        <f t="shared" si="2"/>
        <v/>
      </c>
      <c r="K189" s="6" t="str">
        <f t="shared" si="3"/>
        <v/>
      </c>
    </row>
    <row r="190">
      <c r="A190" s="5"/>
      <c r="B190" s="5"/>
      <c r="C190" s="5"/>
      <c r="D190" s="5"/>
      <c r="E190" s="5"/>
      <c r="F190" s="3"/>
      <c r="G190" s="5"/>
      <c r="H190" s="5"/>
      <c r="I190" s="5" t="str">
        <f t="shared" si="4"/>
        <v/>
      </c>
      <c r="J190" s="6" t="str">
        <f t="shared" si="2"/>
        <v/>
      </c>
      <c r="K190" s="6" t="str">
        <f t="shared" si="3"/>
        <v/>
      </c>
    </row>
    <row r="191">
      <c r="A191" s="5"/>
      <c r="B191" s="5"/>
      <c r="C191" s="5"/>
      <c r="D191" s="5"/>
      <c r="E191" s="5"/>
      <c r="F191" s="3"/>
      <c r="G191" s="5"/>
      <c r="H191" s="5"/>
      <c r="I191" s="5" t="str">
        <f t="shared" si="4"/>
        <v/>
      </c>
      <c r="J191" s="6" t="str">
        <f t="shared" si="2"/>
        <v/>
      </c>
      <c r="K191" s="6" t="str">
        <f t="shared" si="3"/>
        <v/>
      </c>
    </row>
    <row r="192">
      <c r="A192" s="5"/>
      <c r="B192" s="5"/>
      <c r="C192" s="5"/>
      <c r="D192" s="5"/>
      <c r="E192" s="5"/>
      <c r="F192" s="3"/>
      <c r="G192" s="5"/>
      <c r="H192" s="5"/>
      <c r="I192" s="5" t="str">
        <f t="shared" si="4"/>
        <v/>
      </c>
      <c r="J192" s="6" t="str">
        <f t="shared" si="2"/>
        <v/>
      </c>
      <c r="K192" s="6" t="str">
        <f t="shared" si="3"/>
        <v/>
      </c>
    </row>
    <row r="193">
      <c r="A193" s="5"/>
      <c r="B193" s="5"/>
      <c r="C193" s="5"/>
      <c r="D193" s="5"/>
      <c r="E193" s="5"/>
      <c r="F193" s="3"/>
      <c r="G193" s="5"/>
      <c r="H193" s="5"/>
      <c r="I193" s="5" t="str">
        <f t="shared" si="4"/>
        <v/>
      </c>
      <c r="J193" s="6" t="str">
        <f t="shared" si="2"/>
        <v/>
      </c>
      <c r="K193" s="6" t="str">
        <f t="shared" si="3"/>
        <v/>
      </c>
    </row>
    <row r="194">
      <c r="A194" s="5"/>
      <c r="B194" s="5"/>
      <c r="C194" s="5"/>
      <c r="D194" s="5"/>
      <c r="E194" s="5"/>
      <c r="F194" s="3"/>
      <c r="G194" s="5"/>
      <c r="H194" s="5"/>
      <c r="I194" s="5" t="str">
        <f t="shared" si="4"/>
        <v/>
      </c>
      <c r="J194" s="6" t="str">
        <f t="shared" si="2"/>
        <v/>
      </c>
      <c r="K194" s="6" t="str">
        <f t="shared" si="3"/>
        <v/>
      </c>
    </row>
    <row r="195">
      <c r="A195" s="5"/>
      <c r="B195" s="5"/>
      <c r="C195" s="5"/>
      <c r="D195" s="5"/>
      <c r="E195" s="5"/>
      <c r="F195" s="3"/>
      <c r="G195" s="5"/>
      <c r="H195" s="5"/>
      <c r="I195" s="5" t="str">
        <f t="shared" si="4"/>
        <v/>
      </c>
      <c r="J195" s="6" t="str">
        <f t="shared" si="2"/>
        <v/>
      </c>
      <c r="K195" s="6" t="str">
        <f t="shared" si="3"/>
        <v/>
      </c>
    </row>
    <row r="196">
      <c r="A196" s="5"/>
      <c r="B196" s="5"/>
      <c r="C196" s="5"/>
      <c r="D196" s="5"/>
      <c r="E196" s="5"/>
      <c r="F196" s="3"/>
      <c r="G196" s="5"/>
      <c r="H196" s="5"/>
      <c r="I196" s="5" t="str">
        <f t="shared" si="4"/>
        <v/>
      </c>
      <c r="J196" s="6" t="str">
        <f t="shared" si="2"/>
        <v/>
      </c>
      <c r="K196" s="6" t="str">
        <f t="shared" si="3"/>
        <v/>
      </c>
    </row>
    <row r="197">
      <c r="A197" s="5"/>
      <c r="B197" s="5"/>
      <c r="C197" s="5"/>
      <c r="D197" s="5"/>
      <c r="E197" s="5"/>
      <c r="F197" s="3"/>
      <c r="G197" s="5"/>
      <c r="H197" s="5"/>
      <c r="I197" s="5" t="str">
        <f t="shared" si="4"/>
        <v/>
      </c>
      <c r="J197" s="6" t="str">
        <f t="shared" si="2"/>
        <v/>
      </c>
      <c r="K197" s="6" t="str">
        <f t="shared" si="3"/>
        <v/>
      </c>
    </row>
    <row r="198">
      <c r="A198" s="5"/>
      <c r="B198" s="5"/>
      <c r="C198" s="5"/>
      <c r="D198" s="5"/>
      <c r="E198" s="5"/>
      <c r="F198" s="3"/>
      <c r="G198" s="5"/>
      <c r="H198" s="5"/>
      <c r="I198" s="5" t="str">
        <f t="shared" si="4"/>
        <v/>
      </c>
      <c r="J198" s="6" t="str">
        <f t="shared" si="2"/>
        <v/>
      </c>
      <c r="K198" s="6" t="str">
        <f t="shared" si="3"/>
        <v/>
      </c>
    </row>
    <row r="199">
      <c r="A199" s="5"/>
      <c r="B199" s="5"/>
      <c r="C199" s="5"/>
      <c r="D199" s="5"/>
      <c r="E199" s="5"/>
      <c r="F199" s="3"/>
      <c r="G199" s="5"/>
      <c r="H199" s="5"/>
      <c r="I199" s="5" t="str">
        <f t="shared" si="4"/>
        <v/>
      </c>
      <c r="J199" s="6" t="str">
        <f t="shared" si="2"/>
        <v/>
      </c>
      <c r="K199" s="6" t="str">
        <f t="shared" si="3"/>
        <v/>
      </c>
    </row>
    <row r="200">
      <c r="A200" s="5"/>
      <c r="B200" s="5"/>
      <c r="C200" s="5"/>
      <c r="D200" s="5"/>
      <c r="E200" s="5"/>
      <c r="F200" s="3"/>
      <c r="G200" s="5"/>
      <c r="H200" s="5"/>
      <c r="I200" s="5" t="str">
        <f t="shared" si="4"/>
        <v/>
      </c>
      <c r="J200" s="6" t="str">
        <f t="shared" si="2"/>
        <v/>
      </c>
      <c r="K200" s="6" t="str">
        <f t="shared" si="3"/>
        <v/>
      </c>
    </row>
    <row r="201">
      <c r="A201" s="5"/>
      <c r="B201" s="5"/>
      <c r="C201" s="5"/>
      <c r="D201" s="5"/>
      <c r="E201" s="5"/>
      <c r="F201" s="3"/>
      <c r="G201" s="5"/>
      <c r="H201" s="5"/>
      <c r="I201" s="5" t="str">
        <f t="shared" si="4"/>
        <v/>
      </c>
      <c r="J201" s="6" t="str">
        <f t="shared" si="2"/>
        <v/>
      </c>
      <c r="K201" s="6" t="str">
        <f t="shared" si="3"/>
        <v/>
      </c>
    </row>
    <row r="202">
      <c r="A202" s="5"/>
      <c r="B202" s="5"/>
      <c r="C202" s="5"/>
      <c r="D202" s="5"/>
      <c r="E202" s="5"/>
      <c r="F202" s="3"/>
      <c r="G202" s="5"/>
      <c r="H202" s="5"/>
      <c r="I202" s="5" t="str">
        <f t="shared" si="4"/>
        <v/>
      </c>
      <c r="J202" s="6" t="str">
        <f t="shared" si="2"/>
        <v/>
      </c>
      <c r="K202" s="6" t="str">
        <f t="shared" si="3"/>
        <v/>
      </c>
    </row>
    <row r="203">
      <c r="A203" s="5"/>
      <c r="B203" s="5"/>
      <c r="C203" s="5"/>
      <c r="D203" s="5"/>
      <c r="E203" s="5"/>
      <c r="F203" s="3"/>
      <c r="G203" s="5"/>
      <c r="H203" s="5"/>
      <c r="I203" s="5" t="str">
        <f t="shared" si="4"/>
        <v/>
      </c>
      <c r="J203" s="6" t="str">
        <f t="shared" si="2"/>
        <v/>
      </c>
      <c r="K203" s="6" t="str">
        <f t="shared" si="3"/>
        <v/>
      </c>
    </row>
    <row r="204">
      <c r="A204" s="5"/>
      <c r="B204" s="5"/>
      <c r="C204" s="5"/>
      <c r="D204" s="5"/>
      <c r="E204" s="5"/>
      <c r="F204" s="3"/>
      <c r="G204" s="5"/>
      <c r="H204" s="5"/>
      <c r="I204" s="5" t="str">
        <f t="shared" si="4"/>
        <v/>
      </c>
      <c r="J204" s="6" t="str">
        <f t="shared" si="2"/>
        <v/>
      </c>
      <c r="K204" s="6" t="str">
        <f t="shared" si="3"/>
        <v/>
      </c>
    </row>
    <row r="205">
      <c r="A205" s="5"/>
      <c r="B205" s="5"/>
      <c r="C205" s="5"/>
      <c r="D205" s="5"/>
      <c r="E205" s="5"/>
      <c r="F205" s="3"/>
      <c r="G205" s="5"/>
      <c r="H205" s="5"/>
      <c r="I205" s="5" t="str">
        <f t="shared" si="4"/>
        <v/>
      </c>
      <c r="J205" s="6" t="str">
        <f t="shared" si="2"/>
        <v/>
      </c>
      <c r="K205" s="6" t="str">
        <f t="shared" si="3"/>
        <v/>
      </c>
    </row>
    <row r="206">
      <c r="A206" s="5"/>
      <c r="B206" s="5"/>
      <c r="C206" s="5"/>
      <c r="D206" s="5"/>
      <c r="E206" s="5"/>
      <c r="F206" s="3"/>
      <c r="G206" s="5"/>
      <c r="H206" s="5"/>
      <c r="I206" s="5" t="str">
        <f t="shared" si="4"/>
        <v/>
      </c>
      <c r="J206" s="6" t="str">
        <f t="shared" si="2"/>
        <v/>
      </c>
      <c r="K206" s="6" t="str">
        <f t="shared" si="3"/>
        <v/>
      </c>
    </row>
    <row r="207">
      <c r="A207" s="5"/>
      <c r="B207" s="5"/>
      <c r="C207" s="5"/>
      <c r="D207" s="5"/>
      <c r="E207" s="5"/>
      <c r="F207" s="3"/>
      <c r="G207" s="5"/>
      <c r="H207" s="5"/>
      <c r="I207" s="5" t="str">
        <f t="shared" si="4"/>
        <v/>
      </c>
      <c r="J207" s="6" t="str">
        <f t="shared" si="2"/>
        <v/>
      </c>
      <c r="K207" s="6" t="str">
        <f t="shared" si="3"/>
        <v/>
      </c>
    </row>
    <row r="208">
      <c r="A208" s="5"/>
      <c r="B208" s="5"/>
      <c r="C208" s="5"/>
      <c r="D208" s="5"/>
      <c r="E208" s="5"/>
      <c r="F208" s="3"/>
      <c r="G208" s="5"/>
      <c r="H208" s="5"/>
      <c r="I208" s="5" t="str">
        <f t="shared" si="4"/>
        <v/>
      </c>
      <c r="J208" s="6" t="str">
        <f t="shared" si="2"/>
        <v/>
      </c>
      <c r="K208" s="6" t="str">
        <f t="shared" si="3"/>
        <v/>
      </c>
    </row>
    <row r="209">
      <c r="A209" s="5"/>
      <c r="B209" s="5"/>
      <c r="C209" s="5"/>
      <c r="D209" s="5"/>
      <c r="E209" s="5"/>
      <c r="F209" s="3"/>
      <c r="G209" s="5"/>
      <c r="H209" s="5"/>
      <c r="I209" s="5" t="str">
        <f t="shared" si="4"/>
        <v/>
      </c>
      <c r="J209" s="6" t="str">
        <f t="shared" si="2"/>
        <v/>
      </c>
      <c r="K209" s="6" t="str">
        <f t="shared" si="3"/>
        <v/>
      </c>
    </row>
    <row r="210">
      <c r="A210" s="5"/>
      <c r="B210" s="5"/>
      <c r="C210" s="5"/>
      <c r="D210" s="5"/>
      <c r="E210" s="5"/>
      <c r="F210" s="3"/>
      <c r="G210" s="5"/>
      <c r="H210" s="5"/>
      <c r="I210" s="5" t="str">
        <f t="shared" si="4"/>
        <v/>
      </c>
      <c r="J210" s="6" t="str">
        <f t="shared" si="2"/>
        <v/>
      </c>
      <c r="K210" s="6" t="str">
        <f t="shared" si="3"/>
        <v/>
      </c>
    </row>
    <row r="211">
      <c r="A211" s="5"/>
      <c r="B211" s="5"/>
      <c r="C211" s="5"/>
      <c r="D211" s="5"/>
      <c r="E211" s="5"/>
      <c r="F211" s="3"/>
      <c r="G211" s="5"/>
      <c r="H211" s="5"/>
      <c r="I211" s="5" t="str">
        <f t="shared" si="4"/>
        <v/>
      </c>
      <c r="J211" s="6" t="str">
        <f t="shared" si="2"/>
        <v/>
      </c>
      <c r="K211" s="6" t="str">
        <f t="shared" si="3"/>
        <v/>
      </c>
    </row>
    <row r="212">
      <c r="A212" s="5"/>
      <c r="B212" s="5"/>
      <c r="C212" s="5"/>
      <c r="D212" s="5"/>
      <c r="E212" s="5"/>
      <c r="F212" s="3"/>
      <c r="G212" s="5"/>
      <c r="H212" s="5"/>
      <c r="I212" s="5" t="str">
        <f t="shared" si="4"/>
        <v/>
      </c>
      <c r="J212" s="6" t="str">
        <f t="shared" si="2"/>
        <v/>
      </c>
      <c r="K212" s="6" t="str">
        <f t="shared" si="3"/>
        <v/>
      </c>
    </row>
    <row r="213">
      <c r="A213" s="5"/>
      <c r="B213" s="5"/>
      <c r="C213" s="5"/>
      <c r="D213" s="5"/>
      <c r="E213" s="5"/>
      <c r="F213" s="3"/>
      <c r="G213" s="5"/>
      <c r="H213" s="5"/>
      <c r="I213" s="5" t="str">
        <f t="shared" si="4"/>
        <v/>
      </c>
      <c r="J213" s="6" t="str">
        <f t="shared" si="2"/>
        <v/>
      </c>
      <c r="K213" s="6" t="str">
        <f t="shared" si="3"/>
        <v/>
      </c>
    </row>
    <row r="214">
      <c r="A214" s="5"/>
      <c r="B214" s="5"/>
      <c r="C214" s="5"/>
      <c r="D214" s="5"/>
      <c r="E214" s="5"/>
      <c r="F214" s="3"/>
      <c r="G214" s="5"/>
      <c r="H214" s="5"/>
      <c r="I214" s="5" t="str">
        <f t="shared" si="4"/>
        <v/>
      </c>
      <c r="J214" s="6" t="str">
        <f t="shared" si="2"/>
        <v/>
      </c>
      <c r="K214" s="6" t="str">
        <f t="shared" si="3"/>
        <v/>
      </c>
    </row>
    <row r="215">
      <c r="A215" s="5"/>
      <c r="B215" s="5"/>
      <c r="C215" s="5"/>
      <c r="D215" s="5"/>
      <c r="E215" s="5"/>
      <c r="F215" s="3"/>
      <c r="G215" s="5"/>
      <c r="H215" s="5"/>
      <c r="I215" s="5" t="str">
        <f t="shared" si="4"/>
        <v/>
      </c>
      <c r="J215" s="6" t="str">
        <f t="shared" si="2"/>
        <v/>
      </c>
      <c r="K215" s="6" t="str">
        <f t="shared" si="3"/>
        <v/>
      </c>
    </row>
    <row r="216">
      <c r="A216" s="5"/>
      <c r="B216" s="5"/>
      <c r="C216" s="5"/>
      <c r="D216" s="5"/>
      <c r="E216" s="5"/>
      <c r="F216" s="3"/>
      <c r="G216" s="5"/>
      <c r="H216" s="5"/>
      <c r="I216" s="5" t="str">
        <f t="shared" si="4"/>
        <v/>
      </c>
      <c r="J216" s="6" t="str">
        <f t="shared" si="2"/>
        <v/>
      </c>
      <c r="K216" s="6" t="str">
        <f t="shared" si="3"/>
        <v/>
      </c>
    </row>
    <row r="217">
      <c r="A217" s="5"/>
      <c r="B217" s="5"/>
      <c r="C217" s="5"/>
      <c r="D217" s="5"/>
      <c r="E217" s="5"/>
      <c r="F217" s="3"/>
      <c r="G217" s="5"/>
      <c r="H217" s="5"/>
      <c r="I217" s="5" t="str">
        <f t="shared" si="4"/>
        <v/>
      </c>
      <c r="J217" s="6" t="str">
        <f t="shared" si="2"/>
        <v/>
      </c>
      <c r="K217" s="6" t="str">
        <f t="shared" si="3"/>
        <v/>
      </c>
    </row>
    <row r="218">
      <c r="A218" s="5"/>
      <c r="B218" s="5"/>
      <c r="C218" s="5"/>
      <c r="D218" s="5"/>
      <c r="E218" s="5"/>
      <c r="F218" s="3"/>
      <c r="G218" s="5"/>
      <c r="H218" s="5"/>
      <c r="I218" s="5" t="str">
        <f t="shared" si="4"/>
        <v/>
      </c>
      <c r="J218" s="6" t="str">
        <f t="shared" si="2"/>
        <v/>
      </c>
      <c r="K218" s="6" t="str">
        <f t="shared" si="3"/>
        <v/>
      </c>
    </row>
    <row r="219">
      <c r="A219" s="5"/>
      <c r="B219" s="5"/>
      <c r="C219" s="5"/>
      <c r="D219" s="5"/>
      <c r="E219" s="5"/>
      <c r="F219" s="3"/>
      <c r="G219" s="5"/>
      <c r="H219" s="5"/>
      <c r="I219" s="5" t="str">
        <f t="shared" si="4"/>
        <v/>
      </c>
      <c r="J219" s="6" t="str">
        <f t="shared" si="2"/>
        <v/>
      </c>
      <c r="K219" s="6" t="str">
        <f t="shared" si="3"/>
        <v/>
      </c>
    </row>
    <row r="220">
      <c r="A220" s="5"/>
      <c r="B220" s="5"/>
      <c r="C220" s="5"/>
      <c r="D220" s="5"/>
      <c r="E220" s="5"/>
      <c r="F220" s="3"/>
      <c r="G220" s="5"/>
      <c r="H220" s="5"/>
      <c r="I220" s="5" t="str">
        <f t="shared" si="4"/>
        <v/>
      </c>
      <c r="J220" s="6" t="str">
        <f t="shared" si="2"/>
        <v/>
      </c>
      <c r="K220" s="6" t="str">
        <f t="shared" si="3"/>
        <v/>
      </c>
    </row>
    <row r="221">
      <c r="A221" s="5"/>
      <c r="B221" s="5"/>
      <c r="C221" s="5"/>
      <c r="D221" s="5"/>
      <c r="E221" s="5"/>
      <c r="F221" s="3"/>
      <c r="G221" s="5"/>
      <c r="H221" s="5"/>
      <c r="I221" s="5" t="str">
        <f t="shared" si="4"/>
        <v/>
      </c>
      <c r="J221" s="6" t="str">
        <f t="shared" si="2"/>
        <v/>
      </c>
      <c r="K221" s="6" t="str">
        <f t="shared" si="3"/>
        <v/>
      </c>
    </row>
    <row r="222">
      <c r="A222" s="5"/>
      <c r="B222" s="5"/>
      <c r="C222" s="5"/>
      <c r="D222" s="5"/>
      <c r="E222" s="5"/>
      <c r="F222" s="3"/>
      <c r="G222" s="5"/>
      <c r="H222" s="5"/>
      <c r="I222" s="5" t="str">
        <f t="shared" si="4"/>
        <v/>
      </c>
      <c r="J222" s="6" t="str">
        <f t="shared" si="2"/>
        <v/>
      </c>
      <c r="K222" s="6" t="str">
        <f t="shared" si="3"/>
        <v/>
      </c>
    </row>
    <row r="223">
      <c r="A223" s="5"/>
      <c r="B223" s="5"/>
      <c r="C223" s="5"/>
      <c r="D223" s="5"/>
      <c r="E223" s="5"/>
      <c r="F223" s="3"/>
      <c r="G223" s="5"/>
      <c r="H223" s="5"/>
      <c r="I223" s="5" t="str">
        <f t="shared" si="4"/>
        <v/>
      </c>
      <c r="J223" s="6" t="str">
        <f t="shared" si="2"/>
        <v/>
      </c>
      <c r="K223" s="6" t="str">
        <f t="shared" si="3"/>
        <v/>
      </c>
    </row>
    <row r="224">
      <c r="A224" s="5"/>
      <c r="B224" s="5"/>
      <c r="C224" s="5"/>
      <c r="D224" s="5"/>
      <c r="E224" s="5"/>
      <c r="F224" s="3"/>
      <c r="G224" s="5"/>
      <c r="H224" s="5"/>
      <c r="I224" s="5" t="str">
        <f t="shared" si="4"/>
        <v/>
      </c>
      <c r="J224" s="6" t="str">
        <f t="shared" si="2"/>
        <v/>
      </c>
      <c r="K224" s="6" t="str">
        <f t="shared" si="3"/>
        <v/>
      </c>
    </row>
    <row r="225">
      <c r="A225" s="5"/>
      <c r="B225" s="5"/>
      <c r="C225" s="5"/>
      <c r="D225" s="5"/>
      <c r="E225" s="5"/>
      <c r="F225" s="3"/>
      <c r="G225" s="5"/>
      <c r="H225" s="5"/>
      <c r="I225" s="5" t="str">
        <f t="shared" si="4"/>
        <v/>
      </c>
      <c r="J225" s="6" t="str">
        <f t="shared" si="2"/>
        <v/>
      </c>
      <c r="K225" s="6" t="str">
        <f t="shared" si="3"/>
        <v/>
      </c>
    </row>
    <row r="226">
      <c r="A226" s="5"/>
      <c r="B226" s="5"/>
      <c r="C226" s="5"/>
      <c r="D226" s="5"/>
      <c r="E226" s="5"/>
      <c r="F226" s="3"/>
      <c r="G226" s="5"/>
      <c r="H226" s="5"/>
      <c r="I226" s="5" t="str">
        <f t="shared" si="4"/>
        <v/>
      </c>
      <c r="J226" s="6" t="str">
        <f t="shared" si="2"/>
        <v/>
      </c>
      <c r="K226" s="6" t="str">
        <f t="shared" si="3"/>
        <v/>
      </c>
    </row>
    <row r="227">
      <c r="A227" s="5"/>
      <c r="B227" s="5"/>
      <c r="C227" s="5"/>
      <c r="D227" s="5"/>
      <c r="E227" s="5"/>
      <c r="F227" s="3"/>
      <c r="G227" s="5"/>
      <c r="H227" s="5"/>
      <c r="I227" s="5" t="str">
        <f t="shared" si="4"/>
        <v/>
      </c>
      <c r="J227" s="6" t="str">
        <f t="shared" si="2"/>
        <v/>
      </c>
      <c r="K227" s="6" t="str">
        <f t="shared" si="3"/>
        <v/>
      </c>
    </row>
    <row r="228">
      <c r="A228" s="5"/>
      <c r="B228" s="5"/>
      <c r="C228" s="5"/>
      <c r="D228" s="5"/>
      <c r="E228" s="5"/>
      <c r="F228" s="3"/>
      <c r="G228" s="5"/>
      <c r="H228" s="5"/>
      <c r="I228" s="5" t="str">
        <f t="shared" si="4"/>
        <v/>
      </c>
      <c r="J228" s="6" t="str">
        <f t="shared" si="2"/>
        <v/>
      </c>
      <c r="K228" s="6" t="str">
        <f t="shared" si="3"/>
        <v/>
      </c>
    </row>
    <row r="229">
      <c r="A229" s="5"/>
      <c r="B229" s="5"/>
      <c r="C229" s="5"/>
      <c r="D229" s="5"/>
      <c r="E229" s="5"/>
      <c r="F229" s="3"/>
      <c r="G229" s="5"/>
      <c r="H229" s="5"/>
      <c r="I229" s="5" t="str">
        <f t="shared" si="4"/>
        <v/>
      </c>
      <c r="J229" s="6" t="str">
        <f t="shared" si="2"/>
        <v/>
      </c>
      <c r="K229" s="6" t="str">
        <f t="shared" si="3"/>
        <v/>
      </c>
    </row>
    <row r="230">
      <c r="A230" s="5"/>
      <c r="B230" s="5"/>
      <c r="C230" s="5"/>
      <c r="D230" s="5"/>
      <c r="E230" s="5"/>
      <c r="F230" s="3"/>
      <c r="G230" s="5"/>
      <c r="H230" s="5"/>
      <c r="I230" s="5" t="str">
        <f t="shared" si="4"/>
        <v/>
      </c>
      <c r="J230" s="6" t="str">
        <f t="shared" si="2"/>
        <v/>
      </c>
      <c r="K230" s="6" t="str">
        <f t="shared" si="3"/>
        <v/>
      </c>
    </row>
    <row r="231">
      <c r="A231" s="5"/>
      <c r="B231" s="5"/>
      <c r="C231" s="5"/>
      <c r="D231" s="5"/>
      <c r="E231" s="5"/>
      <c r="F231" s="3"/>
      <c r="G231" s="5"/>
      <c r="H231" s="5"/>
      <c r="I231" s="5" t="str">
        <f t="shared" si="4"/>
        <v/>
      </c>
      <c r="J231" s="6" t="str">
        <f t="shared" si="2"/>
        <v/>
      </c>
      <c r="K231" s="6" t="str">
        <f t="shared" si="3"/>
        <v/>
      </c>
    </row>
    <row r="232">
      <c r="A232" s="5"/>
      <c r="B232" s="5"/>
      <c r="C232" s="5"/>
      <c r="D232" s="5"/>
      <c r="E232" s="5"/>
      <c r="F232" s="3"/>
      <c r="G232" s="5"/>
      <c r="H232" s="5"/>
      <c r="I232" s="5" t="str">
        <f t="shared" si="4"/>
        <v/>
      </c>
      <c r="J232" s="6" t="str">
        <f t="shared" si="2"/>
        <v/>
      </c>
      <c r="K232" s="6" t="str">
        <f t="shared" si="3"/>
        <v/>
      </c>
    </row>
    <row r="233">
      <c r="A233" s="5"/>
      <c r="B233" s="5"/>
      <c r="C233" s="5"/>
      <c r="D233" s="5"/>
      <c r="E233" s="5"/>
      <c r="F233" s="3"/>
      <c r="G233" s="5"/>
      <c r="H233" s="5"/>
      <c r="I233" s="5" t="str">
        <f t="shared" si="4"/>
        <v/>
      </c>
      <c r="J233" s="6" t="str">
        <f t="shared" si="2"/>
        <v/>
      </c>
      <c r="K233" s="6" t="str">
        <f t="shared" si="3"/>
        <v/>
      </c>
    </row>
    <row r="234">
      <c r="A234" s="5"/>
      <c r="B234" s="5"/>
      <c r="C234" s="5"/>
      <c r="D234" s="5"/>
      <c r="E234" s="5"/>
      <c r="F234" s="3"/>
      <c r="G234" s="5"/>
      <c r="H234" s="5"/>
      <c r="I234" s="5" t="str">
        <f t="shared" si="4"/>
        <v/>
      </c>
      <c r="J234" s="6" t="str">
        <f t="shared" si="2"/>
        <v/>
      </c>
      <c r="K234" s="6" t="str">
        <f t="shared" si="3"/>
        <v/>
      </c>
    </row>
    <row r="235">
      <c r="A235" s="5"/>
      <c r="B235" s="5"/>
      <c r="C235" s="5"/>
      <c r="D235" s="5"/>
      <c r="E235" s="5"/>
      <c r="F235" s="3"/>
      <c r="G235" s="5"/>
      <c r="H235" s="5"/>
      <c r="I235" s="5" t="str">
        <f t="shared" si="4"/>
        <v/>
      </c>
      <c r="J235" s="6" t="str">
        <f t="shared" si="2"/>
        <v/>
      </c>
      <c r="K235" s="6" t="str">
        <f t="shared" si="3"/>
        <v/>
      </c>
    </row>
    <row r="236">
      <c r="A236" s="5"/>
      <c r="B236" s="5"/>
      <c r="C236" s="5"/>
      <c r="D236" s="5"/>
      <c r="E236" s="5"/>
      <c r="F236" s="3"/>
      <c r="G236" s="5"/>
      <c r="H236" s="5"/>
      <c r="I236" s="5" t="str">
        <f t="shared" si="4"/>
        <v/>
      </c>
      <c r="J236" s="6" t="str">
        <f t="shared" si="2"/>
        <v/>
      </c>
      <c r="K236" s="6" t="str">
        <f t="shared" si="3"/>
        <v/>
      </c>
    </row>
    <row r="237">
      <c r="A237" s="5"/>
      <c r="B237" s="5"/>
      <c r="C237" s="5"/>
      <c r="D237" s="5"/>
      <c r="E237" s="5"/>
      <c r="F237" s="3"/>
      <c r="G237" s="5"/>
      <c r="H237" s="5"/>
      <c r="I237" s="5" t="str">
        <f t="shared" si="4"/>
        <v/>
      </c>
      <c r="J237" s="6" t="str">
        <f t="shared" si="2"/>
        <v/>
      </c>
      <c r="K237" s="6" t="str">
        <f t="shared" si="3"/>
        <v/>
      </c>
    </row>
    <row r="238">
      <c r="A238" s="5"/>
      <c r="B238" s="5"/>
      <c r="C238" s="5"/>
      <c r="D238" s="5"/>
      <c r="E238" s="5"/>
      <c r="F238" s="3"/>
      <c r="G238" s="5"/>
      <c r="H238" s="5"/>
      <c r="I238" s="5" t="str">
        <f t="shared" si="4"/>
        <v/>
      </c>
      <c r="J238" s="6" t="str">
        <f t="shared" si="2"/>
        <v/>
      </c>
      <c r="K238" s="6" t="str">
        <f t="shared" si="3"/>
        <v/>
      </c>
    </row>
    <row r="239">
      <c r="A239" s="5"/>
      <c r="B239" s="5"/>
      <c r="C239" s="5"/>
      <c r="D239" s="5"/>
      <c r="E239" s="5"/>
      <c r="F239" s="3"/>
      <c r="G239" s="5"/>
      <c r="H239" s="5"/>
      <c r="I239" s="5" t="str">
        <f t="shared" si="4"/>
        <v/>
      </c>
      <c r="J239" s="6" t="str">
        <f t="shared" si="2"/>
        <v/>
      </c>
      <c r="K239" s="6" t="str">
        <f t="shared" si="3"/>
        <v/>
      </c>
    </row>
    <row r="240">
      <c r="A240" s="5"/>
      <c r="B240" s="5"/>
      <c r="C240" s="5"/>
      <c r="D240" s="5"/>
      <c r="E240" s="5"/>
      <c r="F240" s="3"/>
      <c r="G240" s="5"/>
      <c r="H240" s="5"/>
      <c r="I240" s="5" t="str">
        <f t="shared" si="4"/>
        <v/>
      </c>
      <c r="J240" s="6" t="str">
        <f t="shared" si="2"/>
        <v/>
      </c>
      <c r="K240" s="6" t="str">
        <f t="shared" si="3"/>
        <v/>
      </c>
    </row>
    <row r="241">
      <c r="A241" s="5"/>
      <c r="B241" s="5"/>
      <c r="C241" s="5"/>
      <c r="D241" s="5"/>
      <c r="E241" s="5"/>
      <c r="F241" s="3"/>
      <c r="G241" s="5"/>
      <c r="H241" s="5"/>
      <c r="I241" s="5" t="str">
        <f t="shared" si="4"/>
        <v/>
      </c>
      <c r="J241" s="6" t="str">
        <f t="shared" si="2"/>
        <v/>
      </c>
      <c r="K241" s="6" t="str">
        <f t="shared" si="3"/>
        <v/>
      </c>
    </row>
    <row r="242">
      <c r="A242" s="5"/>
      <c r="B242" s="5"/>
      <c r="C242" s="5"/>
      <c r="D242" s="5"/>
      <c r="E242" s="5"/>
      <c r="F242" s="3"/>
      <c r="G242" s="5"/>
      <c r="H242" s="5"/>
      <c r="I242" s="5" t="str">
        <f t="shared" si="4"/>
        <v/>
      </c>
      <c r="J242" s="6" t="str">
        <f t="shared" si="2"/>
        <v/>
      </c>
      <c r="K242" s="6" t="str">
        <f t="shared" si="3"/>
        <v/>
      </c>
    </row>
    <row r="243">
      <c r="A243" s="5"/>
      <c r="B243" s="5"/>
      <c r="C243" s="5"/>
      <c r="D243" s="5"/>
      <c r="E243" s="5"/>
      <c r="F243" s="3"/>
      <c r="G243" s="5"/>
      <c r="H243" s="5"/>
      <c r="I243" s="5" t="str">
        <f t="shared" si="4"/>
        <v/>
      </c>
      <c r="J243" s="6" t="str">
        <f t="shared" si="2"/>
        <v/>
      </c>
      <c r="K243" s="6" t="str">
        <f t="shared" si="3"/>
        <v/>
      </c>
    </row>
    <row r="244">
      <c r="A244" s="5"/>
      <c r="B244" s="5"/>
      <c r="C244" s="5"/>
      <c r="D244" s="5"/>
      <c r="E244" s="5"/>
      <c r="F244" s="3"/>
      <c r="G244" s="5"/>
      <c r="H244" s="5"/>
      <c r="I244" s="5" t="str">
        <f t="shared" si="4"/>
        <v/>
      </c>
      <c r="J244" s="6" t="str">
        <f t="shared" si="2"/>
        <v/>
      </c>
      <c r="K244" s="6" t="str">
        <f t="shared" si="3"/>
        <v/>
      </c>
    </row>
    <row r="245">
      <c r="A245" s="5"/>
      <c r="B245" s="5"/>
      <c r="C245" s="5"/>
      <c r="D245" s="5"/>
      <c r="E245" s="5"/>
      <c r="F245" s="3"/>
      <c r="G245" s="5"/>
      <c r="H245" s="5"/>
      <c r="I245" s="5" t="str">
        <f t="shared" si="4"/>
        <v/>
      </c>
      <c r="J245" s="6" t="str">
        <f t="shared" si="2"/>
        <v/>
      </c>
      <c r="K245" s="6" t="str">
        <f t="shared" si="3"/>
        <v/>
      </c>
    </row>
    <row r="246">
      <c r="A246" s="5"/>
      <c r="B246" s="5"/>
      <c r="C246" s="5"/>
      <c r="D246" s="5"/>
      <c r="E246" s="5"/>
      <c r="F246" s="3"/>
      <c r="G246" s="5"/>
      <c r="H246" s="5"/>
      <c r="I246" s="5" t="str">
        <f t="shared" si="4"/>
        <v/>
      </c>
      <c r="J246" s="6" t="str">
        <f t="shared" si="2"/>
        <v/>
      </c>
      <c r="K246" s="6" t="str">
        <f t="shared" si="3"/>
        <v/>
      </c>
    </row>
    <row r="247">
      <c r="A247" s="5"/>
      <c r="B247" s="5"/>
      <c r="C247" s="5"/>
      <c r="D247" s="5"/>
      <c r="E247" s="5"/>
      <c r="F247" s="3"/>
      <c r="G247" s="5"/>
      <c r="H247" s="5"/>
      <c r="I247" s="5" t="str">
        <f t="shared" si="4"/>
        <v/>
      </c>
      <c r="J247" s="6" t="str">
        <f t="shared" si="2"/>
        <v/>
      </c>
      <c r="K247" s="6" t="str">
        <f t="shared" si="3"/>
        <v/>
      </c>
    </row>
    <row r="248">
      <c r="A248" s="5"/>
      <c r="B248" s="5"/>
      <c r="C248" s="5"/>
      <c r="D248" s="5"/>
      <c r="E248" s="5"/>
      <c r="F248" s="3"/>
      <c r="G248" s="5"/>
      <c r="H248" s="5"/>
      <c r="I248" s="5" t="str">
        <f t="shared" si="4"/>
        <v/>
      </c>
      <c r="J248" s="6" t="str">
        <f t="shared" si="2"/>
        <v/>
      </c>
      <c r="K248" s="6" t="str">
        <f t="shared" si="3"/>
        <v/>
      </c>
    </row>
    <row r="249">
      <c r="A249" s="5"/>
      <c r="B249" s="5"/>
      <c r="C249" s="5"/>
      <c r="D249" s="5"/>
      <c r="E249" s="5"/>
      <c r="F249" s="3"/>
      <c r="G249" s="5"/>
      <c r="H249" s="5"/>
      <c r="I249" s="5" t="str">
        <f t="shared" si="4"/>
        <v/>
      </c>
      <c r="J249" s="6" t="str">
        <f t="shared" si="2"/>
        <v/>
      </c>
      <c r="K249" s="6" t="str">
        <f t="shared" si="3"/>
        <v/>
      </c>
    </row>
    <row r="250">
      <c r="A250" s="5"/>
      <c r="B250" s="5"/>
      <c r="C250" s="5"/>
      <c r="D250" s="5"/>
      <c r="E250" s="5"/>
      <c r="F250" s="3"/>
      <c r="G250" s="5"/>
      <c r="H250" s="5"/>
      <c r="I250" s="5" t="str">
        <f t="shared" si="4"/>
        <v/>
      </c>
      <c r="J250" s="6" t="str">
        <f t="shared" si="2"/>
        <v/>
      </c>
      <c r="K250" s="6" t="str">
        <f t="shared" si="3"/>
        <v/>
      </c>
    </row>
    <row r="251">
      <c r="A251" s="5"/>
      <c r="B251" s="5"/>
      <c r="C251" s="5"/>
      <c r="D251" s="5"/>
      <c r="E251" s="5"/>
      <c r="F251" s="3"/>
      <c r="G251" s="5"/>
      <c r="H251" s="5"/>
      <c r="I251" s="5" t="str">
        <f t="shared" si="4"/>
        <v/>
      </c>
      <c r="J251" s="6" t="str">
        <f t="shared" si="2"/>
        <v/>
      </c>
      <c r="K251" s="6" t="str">
        <f t="shared" si="3"/>
        <v/>
      </c>
    </row>
    <row r="252">
      <c r="A252" s="5"/>
      <c r="B252" s="5"/>
      <c r="C252" s="5"/>
      <c r="D252" s="5"/>
      <c r="E252" s="5"/>
      <c r="F252" s="3"/>
      <c r="G252" s="5"/>
      <c r="H252" s="5"/>
      <c r="I252" s="5" t="str">
        <f t="shared" si="4"/>
        <v/>
      </c>
      <c r="J252" s="6" t="str">
        <f t="shared" si="2"/>
        <v/>
      </c>
      <c r="K252" s="6" t="str">
        <f t="shared" si="3"/>
        <v/>
      </c>
    </row>
    <row r="253">
      <c r="A253" s="5"/>
      <c r="B253" s="5"/>
      <c r="C253" s="5"/>
      <c r="D253" s="5"/>
      <c r="E253" s="5"/>
      <c r="F253" s="3"/>
      <c r="G253" s="5"/>
      <c r="H253" s="5"/>
      <c r="I253" s="5" t="str">
        <f t="shared" si="4"/>
        <v/>
      </c>
      <c r="J253" s="6" t="str">
        <f t="shared" si="2"/>
        <v/>
      </c>
      <c r="K253" s="6" t="str">
        <f t="shared" si="3"/>
        <v/>
      </c>
    </row>
    <row r="254">
      <c r="A254" s="5"/>
      <c r="B254" s="5"/>
      <c r="C254" s="5"/>
      <c r="D254" s="5"/>
      <c r="E254" s="5"/>
      <c r="F254" s="3"/>
      <c r="G254" s="5"/>
      <c r="H254" s="5"/>
      <c r="I254" s="5" t="str">
        <f t="shared" si="4"/>
        <v/>
      </c>
      <c r="J254" s="6" t="str">
        <f t="shared" si="2"/>
        <v/>
      </c>
      <c r="K254" s="6" t="str">
        <f t="shared" si="3"/>
        <v/>
      </c>
    </row>
    <row r="255">
      <c r="A255" s="5"/>
      <c r="B255" s="5"/>
      <c r="C255" s="5"/>
      <c r="D255" s="5"/>
      <c r="E255" s="5"/>
      <c r="F255" s="3"/>
      <c r="G255" s="5"/>
      <c r="H255" s="5"/>
      <c r="I255" s="5" t="str">
        <f t="shared" si="4"/>
        <v/>
      </c>
      <c r="J255" s="6" t="str">
        <f t="shared" si="2"/>
        <v/>
      </c>
      <c r="K255" s="6" t="str">
        <f t="shared" si="3"/>
        <v/>
      </c>
    </row>
    <row r="256">
      <c r="A256" s="5"/>
      <c r="B256" s="5"/>
      <c r="C256" s="5"/>
      <c r="D256" s="5"/>
      <c r="E256" s="5"/>
      <c r="F256" s="3"/>
      <c r="G256" s="5"/>
      <c r="H256" s="5"/>
      <c r="I256" s="5" t="str">
        <f t="shared" si="4"/>
        <v/>
      </c>
      <c r="J256" s="6" t="str">
        <f t="shared" si="2"/>
        <v/>
      </c>
      <c r="K256" s="6" t="str">
        <f t="shared" si="3"/>
        <v/>
      </c>
    </row>
    <row r="257">
      <c r="A257" s="5"/>
      <c r="B257" s="5"/>
      <c r="C257" s="5"/>
      <c r="D257" s="5"/>
      <c r="E257" s="5"/>
      <c r="F257" s="3"/>
      <c r="G257" s="5"/>
      <c r="H257" s="5"/>
      <c r="I257" s="5" t="str">
        <f t="shared" si="4"/>
        <v/>
      </c>
      <c r="J257" s="6" t="str">
        <f t="shared" si="2"/>
        <v/>
      </c>
      <c r="K257" s="6" t="str">
        <f t="shared" si="3"/>
        <v/>
      </c>
    </row>
    <row r="258">
      <c r="A258" s="5"/>
      <c r="B258" s="5"/>
      <c r="C258" s="5"/>
      <c r="D258" s="5"/>
      <c r="E258" s="5"/>
      <c r="F258" s="3"/>
      <c r="G258" s="5"/>
      <c r="H258" s="5"/>
      <c r="I258" s="5" t="str">
        <f t="shared" si="4"/>
        <v/>
      </c>
      <c r="J258" s="6" t="str">
        <f t="shared" si="2"/>
        <v/>
      </c>
      <c r="K258" s="6" t="str">
        <f t="shared" si="3"/>
        <v/>
      </c>
    </row>
    <row r="259">
      <c r="A259" s="5"/>
      <c r="B259" s="5"/>
      <c r="C259" s="5"/>
      <c r="D259" s="5"/>
      <c r="E259" s="5"/>
      <c r="F259" s="3"/>
      <c r="G259" s="5"/>
      <c r="H259" s="5"/>
      <c r="I259" s="5" t="str">
        <f t="shared" si="4"/>
        <v/>
      </c>
      <c r="J259" s="6" t="str">
        <f t="shared" si="2"/>
        <v/>
      </c>
      <c r="K259" s="6" t="str">
        <f t="shared" si="3"/>
        <v/>
      </c>
    </row>
    <row r="260">
      <c r="A260" s="5"/>
      <c r="B260" s="5"/>
      <c r="C260" s="5"/>
      <c r="D260" s="5"/>
      <c r="E260" s="5"/>
      <c r="F260" s="3"/>
      <c r="G260" s="5"/>
      <c r="H260" s="5"/>
      <c r="I260" s="5" t="str">
        <f t="shared" si="4"/>
        <v/>
      </c>
      <c r="J260" s="6" t="str">
        <f t="shared" si="2"/>
        <v/>
      </c>
      <c r="K260" s="6" t="str">
        <f t="shared" si="3"/>
        <v/>
      </c>
    </row>
    <row r="261">
      <c r="A261" s="5"/>
      <c r="B261" s="5"/>
      <c r="C261" s="5"/>
      <c r="D261" s="5"/>
      <c r="E261" s="5"/>
      <c r="F261" s="3"/>
      <c r="G261" s="5"/>
      <c r="H261" s="5"/>
      <c r="I261" s="5" t="str">
        <f t="shared" si="4"/>
        <v/>
      </c>
      <c r="J261" s="6" t="str">
        <f t="shared" si="2"/>
        <v/>
      </c>
      <c r="K261" s="6" t="str">
        <f t="shared" si="3"/>
        <v/>
      </c>
    </row>
    <row r="262">
      <c r="A262" s="5"/>
      <c r="B262" s="5"/>
      <c r="C262" s="5"/>
      <c r="D262" s="5"/>
      <c r="E262" s="5"/>
      <c r="F262" s="3"/>
      <c r="G262" s="5"/>
      <c r="H262" s="5"/>
      <c r="I262" s="5" t="str">
        <f t="shared" si="4"/>
        <v/>
      </c>
      <c r="J262" s="6" t="str">
        <f t="shared" si="2"/>
        <v/>
      </c>
      <c r="K262" s="6" t="str">
        <f t="shared" si="3"/>
        <v/>
      </c>
    </row>
    <row r="263">
      <c r="A263" s="5"/>
      <c r="B263" s="5"/>
      <c r="C263" s="5"/>
      <c r="D263" s="5"/>
      <c r="E263" s="5"/>
      <c r="F263" s="3"/>
      <c r="G263" s="5"/>
      <c r="H263" s="5"/>
      <c r="I263" s="5" t="str">
        <f t="shared" si="4"/>
        <v/>
      </c>
      <c r="J263" s="6" t="str">
        <f t="shared" si="2"/>
        <v/>
      </c>
      <c r="K263" s="6" t="str">
        <f t="shared" si="3"/>
        <v/>
      </c>
    </row>
    <row r="264">
      <c r="A264" s="5"/>
      <c r="B264" s="5"/>
      <c r="C264" s="5"/>
      <c r="D264" s="5"/>
      <c r="E264" s="5"/>
      <c r="F264" s="3"/>
      <c r="G264" s="5"/>
      <c r="H264" s="5"/>
      <c r="I264" s="5" t="str">
        <f t="shared" si="4"/>
        <v/>
      </c>
      <c r="J264" s="6" t="str">
        <f t="shared" si="2"/>
        <v/>
      </c>
      <c r="K264" s="6" t="str">
        <f t="shared" si="3"/>
        <v/>
      </c>
    </row>
    <row r="265">
      <c r="A265" s="5"/>
      <c r="B265" s="5"/>
      <c r="C265" s="5"/>
      <c r="D265" s="5"/>
      <c r="E265" s="5"/>
      <c r="F265" s="3"/>
      <c r="G265" s="5"/>
      <c r="H265" s="5"/>
      <c r="I265" s="5" t="str">
        <f t="shared" si="4"/>
        <v/>
      </c>
      <c r="J265" s="6" t="str">
        <f t="shared" si="2"/>
        <v/>
      </c>
      <c r="K265" s="6" t="str">
        <f t="shared" si="3"/>
        <v/>
      </c>
    </row>
    <row r="266">
      <c r="A266" s="5"/>
      <c r="B266" s="5"/>
      <c r="C266" s="5"/>
      <c r="D266" s="5"/>
      <c r="E266" s="5"/>
      <c r="F266" s="3"/>
      <c r="G266" s="5"/>
      <c r="H266" s="5"/>
      <c r="I266" s="5" t="str">
        <f t="shared" si="4"/>
        <v/>
      </c>
      <c r="J266" s="6" t="str">
        <f t="shared" si="2"/>
        <v/>
      </c>
      <c r="K266" s="6" t="str">
        <f t="shared" si="3"/>
        <v/>
      </c>
    </row>
    <row r="267">
      <c r="A267" s="5"/>
      <c r="B267" s="5"/>
      <c r="C267" s="5"/>
      <c r="D267" s="5"/>
      <c r="E267" s="5"/>
      <c r="F267" s="3"/>
      <c r="G267" s="5"/>
      <c r="H267" s="5"/>
      <c r="I267" s="5" t="str">
        <f t="shared" si="4"/>
        <v/>
      </c>
      <c r="J267" s="6" t="str">
        <f t="shared" si="2"/>
        <v/>
      </c>
      <c r="K267" s="6" t="str">
        <f t="shared" si="3"/>
        <v/>
      </c>
    </row>
    <row r="268">
      <c r="A268" s="5"/>
      <c r="B268" s="5"/>
      <c r="C268" s="5"/>
      <c r="D268" s="5"/>
      <c r="E268" s="5"/>
      <c r="F268" s="3"/>
      <c r="G268" s="5"/>
      <c r="H268" s="5"/>
      <c r="I268" s="5" t="str">
        <f t="shared" si="4"/>
        <v/>
      </c>
      <c r="J268" s="6" t="str">
        <f t="shared" si="2"/>
        <v/>
      </c>
      <c r="K268" s="6" t="str">
        <f t="shared" si="3"/>
        <v/>
      </c>
    </row>
    <row r="269">
      <c r="A269" s="5"/>
      <c r="B269" s="5"/>
      <c r="C269" s="5"/>
      <c r="D269" s="5"/>
      <c r="E269" s="5"/>
      <c r="F269" s="3"/>
      <c r="G269" s="5"/>
      <c r="H269" s="5"/>
      <c r="I269" s="5" t="str">
        <f t="shared" si="4"/>
        <v/>
      </c>
      <c r="J269" s="6" t="str">
        <f t="shared" si="2"/>
        <v/>
      </c>
      <c r="K269" s="6" t="str">
        <f t="shared" si="3"/>
        <v/>
      </c>
    </row>
    <row r="270">
      <c r="A270" s="5"/>
      <c r="B270" s="5"/>
      <c r="C270" s="5"/>
      <c r="D270" s="5"/>
      <c r="E270" s="5"/>
      <c r="F270" s="3"/>
      <c r="G270" s="5"/>
      <c r="H270" s="5"/>
      <c r="I270" s="5" t="str">
        <f t="shared" si="4"/>
        <v/>
      </c>
      <c r="J270" s="6" t="str">
        <f t="shared" si="2"/>
        <v/>
      </c>
      <c r="K270" s="6" t="str">
        <f t="shared" si="3"/>
        <v/>
      </c>
    </row>
    <row r="271">
      <c r="A271" s="5"/>
      <c r="B271" s="5"/>
      <c r="C271" s="5"/>
      <c r="D271" s="5"/>
      <c r="E271" s="5"/>
      <c r="F271" s="3"/>
      <c r="G271" s="5"/>
      <c r="H271" s="5"/>
      <c r="I271" s="5" t="str">
        <f t="shared" si="4"/>
        <v/>
      </c>
      <c r="J271" s="6" t="str">
        <f t="shared" si="2"/>
        <v/>
      </c>
      <c r="K271" s="6" t="str">
        <f t="shared" si="3"/>
        <v/>
      </c>
    </row>
    <row r="272">
      <c r="A272" s="5"/>
      <c r="B272" s="5"/>
      <c r="C272" s="5"/>
      <c r="D272" s="5"/>
      <c r="E272" s="5"/>
      <c r="F272" s="3"/>
      <c r="G272" s="5"/>
      <c r="H272" s="5"/>
      <c r="I272" s="5" t="str">
        <f t="shared" si="4"/>
        <v/>
      </c>
      <c r="J272" s="6" t="str">
        <f t="shared" si="2"/>
        <v/>
      </c>
      <c r="K272" s="6" t="str">
        <f t="shared" si="3"/>
        <v/>
      </c>
    </row>
    <row r="273">
      <c r="A273" s="5"/>
      <c r="B273" s="5"/>
      <c r="C273" s="5"/>
      <c r="D273" s="5"/>
      <c r="E273" s="5"/>
      <c r="F273" s="3"/>
      <c r="G273" s="5"/>
      <c r="H273" s="5"/>
      <c r="I273" s="5" t="str">
        <f t="shared" si="4"/>
        <v/>
      </c>
      <c r="J273" s="6" t="str">
        <f t="shared" si="2"/>
        <v/>
      </c>
      <c r="K273" s="6" t="str">
        <f t="shared" si="3"/>
        <v/>
      </c>
    </row>
    <row r="274">
      <c r="A274" s="5"/>
      <c r="B274" s="5"/>
      <c r="C274" s="5"/>
      <c r="D274" s="5"/>
      <c r="E274" s="5"/>
      <c r="F274" s="3"/>
      <c r="G274" s="5"/>
      <c r="H274" s="5"/>
      <c r="I274" s="5" t="str">
        <f t="shared" si="4"/>
        <v/>
      </c>
      <c r="J274" s="6" t="str">
        <f t="shared" si="2"/>
        <v/>
      </c>
      <c r="K274" s="6" t="str">
        <f t="shared" si="3"/>
        <v/>
      </c>
    </row>
    <row r="275">
      <c r="A275" s="5"/>
      <c r="B275" s="5"/>
      <c r="C275" s="5"/>
      <c r="D275" s="5"/>
      <c r="E275" s="5"/>
      <c r="F275" s="3"/>
      <c r="G275" s="5"/>
      <c r="H275" s="5"/>
      <c r="I275" s="5" t="str">
        <f t="shared" si="4"/>
        <v/>
      </c>
      <c r="J275" s="6" t="str">
        <f t="shared" si="2"/>
        <v/>
      </c>
      <c r="K275" s="6" t="str">
        <f t="shared" si="3"/>
        <v/>
      </c>
    </row>
    <row r="276">
      <c r="A276" s="5"/>
      <c r="B276" s="5"/>
      <c r="C276" s="5"/>
      <c r="D276" s="5"/>
      <c r="E276" s="5"/>
      <c r="F276" s="3"/>
      <c r="G276" s="5"/>
      <c r="H276" s="5"/>
      <c r="I276" s="5" t="str">
        <f t="shared" si="4"/>
        <v/>
      </c>
      <c r="J276" s="6" t="str">
        <f t="shared" si="2"/>
        <v/>
      </c>
      <c r="K276" s="6" t="str">
        <f t="shared" si="3"/>
        <v/>
      </c>
    </row>
    <row r="277">
      <c r="A277" s="5"/>
      <c r="B277" s="5"/>
      <c r="C277" s="5"/>
      <c r="D277" s="5"/>
      <c r="E277" s="5"/>
      <c r="F277" s="3"/>
      <c r="G277" s="5"/>
      <c r="H277" s="5"/>
      <c r="I277" s="5" t="str">
        <f t="shared" si="4"/>
        <v/>
      </c>
      <c r="J277" s="6" t="str">
        <f t="shared" si="2"/>
        <v/>
      </c>
      <c r="K277" s="6" t="str">
        <f t="shared" si="3"/>
        <v/>
      </c>
    </row>
    <row r="278">
      <c r="A278" s="5"/>
      <c r="B278" s="5"/>
      <c r="C278" s="5"/>
      <c r="D278" s="5"/>
      <c r="E278" s="5"/>
      <c r="F278" s="3"/>
      <c r="G278" s="5"/>
      <c r="H278" s="5"/>
      <c r="I278" s="5" t="str">
        <f t="shared" si="4"/>
        <v/>
      </c>
      <c r="J278" s="6" t="str">
        <f t="shared" si="2"/>
        <v/>
      </c>
      <c r="K278" s="6" t="str">
        <f t="shared" si="3"/>
        <v/>
      </c>
    </row>
    <row r="279">
      <c r="A279" s="5"/>
      <c r="B279" s="5"/>
      <c r="C279" s="5"/>
      <c r="D279" s="5"/>
      <c r="E279" s="5"/>
      <c r="F279" s="3"/>
      <c r="G279" s="5"/>
      <c r="H279" s="5"/>
      <c r="I279" s="5" t="str">
        <f t="shared" si="4"/>
        <v/>
      </c>
      <c r="J279" s="6" t="str">
        <f t="shared" si="2"/>
        <v/>
      </c>
      <c r="K279" s="6" t="str">
        <f t="shared" si="3"/>
        <v/>
      </c>
    </row>
    <row r="280">
      <c r="A280" s="5"/>
      <c r="B280" s="5"/>
      <c r="C280" s="5"/>
      <c r="D280" s="5"/>
      <c r="E280" s="5"/>
      <c r="F280" s="3"/>
      <c r="G280" s="5"/>
      <c r="H280" s="5"/>
      <c r="I280" s="5" t="str">
        <f t="shared" si="4"/>
        <v/>
      </c>
      <c r="J280" s="6" t="str">
        <f t="shared" si="2"/>
        <v/>
      </c>
      <c r="K280" s="6" t="str">
        <f t="shared" si="3"/>
        <v/>
      </c>
    </row>
    <row r="281">
      <c r="A281" s="5"/>
      <c r="B281" s="5"/>
      <c r="C281" s="5"/>
      <c r="D281" s="5"/>
      <c r="E281" s="5"/>
      <c r="F281" s="3"/>
      <c r="G281" s="5"/>
      <c r="H281" s="5"/>
      <c r="I281" s="5" t="str">
        <f t="shared" si="4"/>
        <v/>
      </c>
      <c r="J281" s="6" t="str">
        <f t="shared" si="2"/>
        <v/>
      </c>
      <c r="K281" s="6" t="str">
        <f t="shared" si="3"/>
        <v/>
      </c>
    </row>
    <row r="282">
      <c r="A282" s="5"/>
      <c r="B282" s="5"/>
      <c r="C282" s="5"/>
      <c r="D282" s="5"/>
      <c r="E282" s="5"/>
      <c r="F282" s="3"/>
      <c r="G282" s="5"/>
      <c r="H282" s="5"/>
      <c r="I282" s="5" t="str">
        <f t="shared" si="4"/>
        <v/>
      </c>
      <c r="J282" s="6" t="str">
        <f t="shared" si="2"/>
        <v/>
      </c>
      <c r="K282" s="6" t="str">
        <f t="shared" si="3"/>
        <v/>
      </c>
    </row>
    <row r="283">
      <c r="A283" s="5"/>
      <c r="B283" s="5"/>
      <c r="C283" s="5"/>
      <c r="D283" s="5"/>
      <c r="E283" s="5"/>
      <c r="F283" s="3"/>
      <c r="G283" s="5"/>
      <c r="H283" s="5"/>
      <c r="I283" s="5" t="str">
        <f t="shared" si="4"/>
        <v/>
      </c>
      <c r="J283" s="6" t="str">
        <f t="shared" si="2"/>
        <v/>
      </c>
      <c r="K283" s="6" t="str">
        <f t="shared" si="3"/>
        <v/>
      </c>
    </row>
    <row r="284">
      <c r="A284" s="5"/>
      <c r="B284" s="5"/>
      <c r="C284" s="5"/>
      <c r="D284" s="5"/>
      <c r="E284" s="5"/>
      <c r="F284" s="3"/>
      <c r="G284" s="5"/>
      <c r="H284" s="5"/>
      <c r="I284" s="5" t="str">
        <f t="shared" si="4"/>
        <v/>
      </c>
      <c r="J284" s="6" t="str">
        <f t="shared" si="2"/>
        <v/>
      </c>
      <c r="K284" s="6" t="str">
        <f t="shared" si="3"/>
        <v/>
      </c>
    </row>
    <row r="285">
      <c r="A285" s="5"/>
      <c r="B285" s="5"/>
      <c r="C285" s="5"/>
      <c r="D285" s="5"/>
      <c r="E285" s="5"/>
      <c r="F285" s="3"/>
      <c r="G285" s="5"/>
      <c r="H285" s="5"/>
      <c r="I285" s="5" t="str">
        <f t="shared" si="4"/>
        <v/>
      </c>
      <c r="J285" s="6" t="str">
        <f t="shared" si="2"/>
        <v/>
      </c>
      <c r="K285" s="6" t="str">
        <f t="shared" si="3"/>
        <v/>
      </c>
    </row>
    <row r="286">
      <c r="A286" s="5"/>
      <c r="B286" s="5"/>
      <c r="C286" s="5"/>
      <c r="D286" s="5"/>
      <c r="E286" s="5"/>
      <c r="F286" s="3"/>
      <c r="G286" s="5"/>
      <c r="H286" s="5"/>
      <c r="I286" s="5" t="str">
        <f t="shared" si="4"/>
        <v/>
      </c>
      <c r="J286" s="6" t="str">
        <f t="shared" si="2"/>
        <v/>
      </c>
      <c r="K286" s="6" t="str">
        <f t="shared" si="3"/>
        <v/>
      </c>
    </row>
    <row r="287">
      <c r="A287" s="5"/>
      <c r="B287" s="5"/>
      <c r="C287" s="5"/>
      <c r="D287" s="5"/>
      <c r="E287" s="5"/>
      <c r="F287" s="3"/>
      <c r="G287" s="5"/>
      <c r="H287" s="5"/>
      <c r="I287" s="5" t="str">
        <f t="shared" si="4"/>
        <v/>
      </c>
      <c r="J287" s="6" t="str">
        <f t="shared" si="2"/>
        <v/>
      </c>
      <c r="K287" s="6" t="str">
        <f t="shared" si="3"/>
        <v/>
      </c>
    </row>
    <row r="288">
      <c r="A288" s="5"/>
      <c r="B288" s="5"/>
      <c r="C288" s="5"/>
      <c r="D288" s="5"/>
      <c r="E288" s="5"/>
      <c r="F288" s="3"/>
      <c r="G288" s="5"/>
      <c r="H288" s="5"/>
      <c r="I288" s="5" t="str">
        <f t="shared" si="4"/>
        <v/>
      </c>
      <c r="J288" s="6" t="str">
        <f t="shared" si="2"/>
        <v/>
      </c>
      <c r="K288" s="6" t="str">
        <f t="shared" si="3"/>
        <v/>
      </c>
    </row>
    <row r="289">
      <c r="A289" s="5"/>
      <c r="B289" s="5"/>
      <c r="C289" s="5"/>
      <c r="D289" s="5"/>
      <c r="E289" s="5"/>
      <c r="F289" s="3"/>
      <c r="G289" s="5"/>
      <c r="H289" s="5"/>
      <c r="I289" s="5" t="str">
        <f t="shared" si="4"/>
        <v/>
      </c>
      <c r="J289" s="6" t="str">
        <f t="shared" si="2"/>
        <v/>
      </c>
      <c r="K289" s="6" t="str">
        <f t="shared" si="3"/>
        <v/>
      </c>
    </row>
    <row r="290">
      <c r="A290" s="5"/>
      <c r="B290" s="5"/>
      <c r="C290" s="5"/>
      <c r="D290" s="5"/>
      <c r="E290" s="5"/>
      <c r="F290" s="3"/>
      <c r="G290" s="5"/>
      <c r="H290" s="5"/>
      <c r="I290" s="5" t="str">
        <f t="shared" si="4"/>
        <v/>
      </c>
      <c r="J290" s="6" t="str">
        <f t="shared" si="2"/>
        <v/>
      </c>
      <c r="K290" s="6" t="str">
        <f t="shared" si="3"/>
        <v/>
      </c>
    </row>
    <row r="291">
      <c r="A291" s="5"/>
      <c r="B291" s="5"/>
      <c r="C291" s="5"/>
      <c r="D291" s="5"/>
      <c r="E291" s="5"/>
      <c r="F291" s="3"/>
      <c r="G291" s="5"/>
      <c r="H291" s="5"/>
      <c r="I291" s="5" t="str">
        <f t="shared" si="4"/>
        <v/>
      </c>
      <c r="J291" s="6" t="str">
        <f t="shared" si="2"/>
        <v/>
      </c>
      <c r="K291" s="6" t="str">
        <f t="shared" si="3"/>
        <v/>
      </c>
    </row>
    <row r="292">
      <c r="A292" s="5"/>
      <c r="B292" s="5"/>
      <c r="C292" s="5"/>
      <c r="D292" s="5"/>
      <c r="E292" s="5"/>
      <c r="F292" s="3"/>
      <c r="G292" s="5"/>
      <c r="H292" s="5"/>
      <c r="I292" s="5" t="str">
        <f t="shared" si="4"/>
        <v/>
      </c>
      <c r="J292" s="6" t="str">
        <f t="shared" si="2"/>
        <v/>
      </c>
      <c r="K292" s="6" t="str">
        <f t="shared" si="3"/>
        <v/>
      </c>
    </row>
    <row r="293">
      <c r="A293" s="5"/>
      <c r="B293" s="5"/>
      <c r="C293" s="5"/>
      <c r="D293" s="5"/>
      <c r="E293" s="5"/>
      <c r="F293" s="3"/>
      <c r="G293" s="5"/>
      <c r="H293" s="5"/>
      <c r="I293" s="5" t="str">
        <f t="shared" si="4"/>
        <v/>
      </c>
      <c r="J293" s="6" t="str">
        <f t="shared" si="2"/>
        <v/>
      </c>
      <c r="K293" s="6" t="str">
        <f t="shared" si="3"/>
        <v/>
      </c>
    </row>
    <row r="294">
      <c r="A294" s="5"/>
      <c r="B294" s="5"/>
      <c r="C294" s="5"/>
      <c r="D294" s="5"/>
      <c r="E294" s="5"/>
      <c r="F294" s="3"/>
      <c r="G294" s="5"/>
      <c r="H294" s="5"/>
      <c r="I294" s="5" t="str">
        <f t="shared" si="4"/>
        <v/>
      </c>
      <c r="J294" s="6" t="str">
        <f t="shared" si="2"/>
        <v/>
      </c>
      <c r="K294" s="6" t="str">
        <f t="shared" si="3"/>
        <v/>
      </c>
    </row>
    <row r="295">
      <c r="A295" s="5"/>
      <c r="B295" s="5"/>
      <c r="C295" s="5"/>
      <c r="D295" s="5"/>
      <c r="E295" s="5"/>
      <c r="F295" s="3"/>
      <c r="G295" s="5"/>
      <c r="H295" s="5"/>
      <c r="I295" s="5" t="str">
        <f t="shared" si="4"/>
        <v/>
      </c>
      <c r="J295" s="6" t="str">
        <f t="shared" si="2"/>
        <v/>
      </c>
      <c r="K295" s="6" t="str">
        <f t="shared" si="3"/>
        <v/>
      </c>
    </row>
    <row r="296">
      <c r="A296" s="5"/>
      <c r="B296" s="5"/>
      <c r="C296" s="5"/>
      <c r="D296" s="5"/>
      <c r="E296" s="5"/>
      <c r="F296" s="3"/>
      <c r="G296" s="5"/>
      <c r="H296" s="5"/>
      <c r="I296" s="5" t="str">
        <f t="shared" si="4"/>
        <v/>
      </c>
      <c r="J296" s="6" t="str">
        <f t="shared" si="2"/>
        <v/>
      </c>
      <c r="K296" s="6" t="str">
        <f t="shared" si="3"/>
        <v/>
      </c>
    </row>
    <row r="297">
      <c r="A297" s="5"/>
      <c r="B297" s="5"/>
      <c r="C297" s="5"/>
      <c r="D297" s="5"/>
      <c r="E297" s="5"/>
      <c r="F297" s="3"/>
      <c r="G297" s="5"/>
      <c r="H297" s="5"/>
      <c r="I297" s="5" t="str">
        <f t="shared" si="4"/>
        <v/>
      </c>
      <c r="J297" s="6" t="str">
        <f t="shared" si="2"/>
        <v/>
      </c>
      <c r="K297" s="6" t="str">
        <f t="shared" si="3"/>
        <v/>
      </c>
    </row>
    <row r="298">
      <c r="A298" s="5"/>
      <c r="B298" s="5"/>
      <c r="C298" s="5"/>
      <c r="D298" s="5"/>
      <c r="E298" s="5"/>
      <c r="F298" s="3"/>
      <c r="G298" s="5"/>
      <c r="H298" s="5"/>
      <c r="I298" s="5" t="str">
        <f t="shared" si="4"/>
        <v/>
      </c>
      <c r="J298" s="6" t="str">
        <f t="shared" si="2"/>
        <v/>
      </c>
      <c r="K298" s="6" t="str">
        <f t="shared" si="3"/>
        <v/>
      </c>
    </row>
    <row r="299">
      <c r="A299" s="5"/>
      <c r="B299" s="5"/>
      <c r="C299" s="5"/>
      <c r="D299" s="5"/>
      <c r="E299" s="5"/>
      <c r="F299" s="3"/>
      <c r="G299" s="5"/>
      <c r="H299" s="5"/>
      <c r="I299" s="5" t="str">
        <f t="shared" si="4"/>
        <v/>
      </c>
      <c r="J299" s="6" t="str">
        <f t="shared" si="2"/>
        <v/>
      </c>
      <c r="K299" s="6" t="str">
        <f t="shared" si="3"/>
        <v/>
      </c>
    </row>
    <row r="300">
      <c r="A300" s="5"/>
      <c r="B300" s="5"/>
      <c r="C300" s="5"/>
      <c r="D300" s="5"/>
      <c r="E300" s="5"/>
      <c r="F300" s="3"/>
      <c r="G300" s="5"/>
      <c r="H300" s="5"/>
      <c r="I300" s="5" t="str">
        <f t="shared" si="4"/>
        <v/>
      </c>
      <c r="J300" s="6" t="str">
        <f t="shared" si="2"/>
        <v/>
      </c>
      <c r="K300" s="6" t="str">
        <f t="shared" si="3"/>
        <v/>
      </c>
    </row>
    <row r="301">
      <c r="A301" s="5"/>
      <c r="B301" s="5"/>
      <c r="C301" s="5"/>
      <c r="D301" s="5"/>
      <c r="E301" s="5"/>
      <c r="F301" s="3"/>
      <c r="G301" s="5"/>
      <c r="H301" s="5"/>
      <c r="I301" s="5" t="str">
        <f t="shared" si="4"/>
        <v/>
      </c>
      <c r="J301" s="6" t="str">
        <f t="shared" si="2"/>
        <v/>
      </c>
      <c r="K301" s="6" t="str">
        <f t="shared" si="3"/>
        <v/>
      </c>
    </row>
    <row r="302">
      <c r="A302" s="5"/>
      <c r="B302" s="5"/>
      <c r="C302" s="5"/>
      <c r="D302" s="5"/>
      <c r="E302" s="5"/>
      <c r="F302" s="3"/>
      <c r="G302" s="5"/>
      <c r="H302" s="5"/>
      <c r="I302" s="5" t="str">
        <f t="shared" si="4"/>
        <v/>
      </c>
      <c r="J302" s="6" t="str">
        <f t="shared" si="2"/>
        <v/>
      </c>
      <c r="K302" s="6" t="str">
        <f t="shared" si="3"/>
        <v/>
      </c>
    </row>
    <row r="303">
      <c r="A303" s="5"/>
      <c r="B303" s="5"/>
      <c r="C303" s="5"/>
      <c r="D303" s="5"/>
      <c r="E303" s="5"/>
      <c r="F303" s="3"/>
      <c r="G303" s="5"/>
      <c r="H303" s="5"/>
      <c r="I303" s="5" t="str">
        <f t="shared" si="4"/>
        <v/>
      </c>
      <c r="J303" s="6" t="str">
        <f t="shared" si="2"/>
        <v/>
      </c>
      <c r="K303" s="6" t="str">
        <f t="shared" si="3"/>
        <v/>
      </c>
    </row>
    <row r="304">
      <c r="A304" s="5"/>
      <c r="B304" s="5"/>
      <c r="C304" s="5"/>
      <c r="D304" s="5"/>
      <c r="E304" s="5"/>
      <c r="F304" s="3"/>
      <c r="G304" s="5"/>
      <c r="H304" s="5"/>
      <c r="I304" s="5" t="str">
        <f t="shared" si="4"/>
        <v/>
      </c>
      <c r="J304" s="6" t="str">
        <f t="shared" si="2"/>
        <v/>
      </c>
      <c r="K304" s="6" t="str">
        <f t="shared" si="3"/>
        <v/>
      </c>
    </row>
    <row r="305">
      <c r="A305" s="5"/>
      <c r="B305" s="5"/>
      <c r="C305" s="5"/>
      <c r="D305" s="5"/>
      <c r="E305" s="5"/>
      <c r="F305" s="3"/>
      <c r="G305" s="5"/>
      <c r="H305" s="5"/>
      <c r="I305" s="5" t="str">
        <f t="shared" si="4"/>
        <v/>
      </c>
      <c r="J305" s="6" t="str">
        <f t="shared" si="2"/>
        <v/>
      </c>
      <c r="K305" s="6" t="str">
        <f t="shared" si="3"/>
        <v/>
      </c>
    </row>
    <row r="306">
      <c r="A306" s="5"/>
      <c r="B306" s="5"/>
      <c r="C306" s="5"/>
      <c r="D306" s="5"/>
      <c r="E306" s="5"/>
      <c r="F306" s="3"/>
      <c r="G306" s="5"/>
      <c r="H306" s="5"/>
      <c r="I306" s="5" t="str">
        <f t="shared" si="4"/>
        <v/>
      </c>
      <c r="J306" s="6" t="str">
        <f t="shared" si="2"/>
        <v/>
      </c>
      <c r="K306" s="6" t="str">
        <f t="shared" si="3"/>
        <v/>
      </c>
    </row>
    <row r="307">
      <c r="A307" s="5"/>
      <c r="B307" s="5"/>
      <c r="C307" s="5"/>
      <c r="D307" s="5"/>
      <c r="E307" s="5"/>
      <c r="F307" s="3"/>
      <c r="G307" s="5"/>
      <c r="H307" s="5"/>
      <c r="I307" s="5" t="str">
        <f t="shared" si="4"/>
        <v/>
      </c>
      <c r="J307" s="6" t="str">
        <f t="shared" si="2"/>
        <v/>
      </c>
      <c r="K307" s="6" t="str">
        <f t="shared" si="3"/>
        <v/>
      </c>
    </row>
    <row r="308">
      <c r="A308" s="5"/>
      <c r="B308" s="5"/>
      <c r="C308" s="5"/>
      <c r="D308" s="5"/>
      <c r="E308" s="5"/>
      <c r="F308" s="3"/>
      <c r="G308" s="5"/>
      <c r="H308" s="5"/>
      <c r="I308" s="5" t="str">
        <f t="shared" si="4"/>
        <v/>
      </c>
      <c r="J308" s="6" t="str">
        <f t="shared" si="2"/>
        <v/>
      </c>
      <c r="K308" s="6" t="str">
        <f t="shared" si="3"/>
        <v/>
      </c>
    </row>
    <row r="309">
      <c r="A309" s="5"/>
      <c r="B309" s="5"/>
      <c r="C309" s="5"/>
      <c r="D309" s="5"/>
      <c r="E309" s="5"/>
      <c r="F309" s="3"/>
      <c r="G309" s="5"/>
      <c r="H309" s="5"/>
      <c r="I309" s="5" t="str">
        <f t="shared" si="4"/>
        <v/>
      </c>
      <c r="J309" s="6" t="str">
        <f t="shared" si="2"/>
        <v/>
      </c>
      <c r="K309" s="6" t="str">
        <f t="shared" si="3"/>
        <v/>
      </c>
    </row>
    <row r="310">
      <c r="A310" s="5"/>
      <c r="B310" s="5"/>
      <c r="C310" s="5"/>
      <c r="D310" s="5"/>
      <c r="E310" s="5"/>
      <c r="F310" s="3"/>
      <c r="G310" s="5"/>
      <c r="H310" s="5"/>
      <c r="I310" s="5" t="str">
        <f t="shared" si="4"/>
        <v/>
      </c>
      <c r="J310" s="6" t="str">
        <f t="shared" si="2"/>
        <v/>
      </c>
      <c r="K310" s="6" t="str">
        <f t="shared" si="3"/>
        <v/>
      </c>
    </row>
    <row r="311">
      <c r="A311" s="5"/>
      <c r="B311" s="5"/>
      <c r="C311" s="5"/>
      <c r="D311" s="5"/>
      <c r="E311" s="5"/>
      <c r="F311" s="3"/>
      <c r="G311" s="5"/>
      <c r="H311" s="5"/>
      <c r="I311" s="5" t="str">
        <f t="shared" si="4"/>
        <v/>
      </c>
      <c r="J311" s="6" t="str">
        <f t="shared" si="2"/>
        <v/>
      </c>
      <c r="K311" s="6" t="str">
        <f t="shared" si="3"/>
        <v/>
      </c>
    </row>
    <row r="312">
      <c r="A312" s="5"/>
      <c r="B312" s="5"/>
      <c r="C312" s="5"/>
      <c r="D312" s="5"/>
      <c r="E312" s="5"/>
      <c r="F312" s="3"/>
      <c r="G312" s="5"/>
      <c r="H312" s="5"/>
      <c r="I312" s="5" t="str">
        <f t="shared" si="4"/>
        <v/>
      </c>
      <c r="J312" s="6" t="str">
        <f t="shared" si="2"/>
        <v/>
      </c>
      <c r="K312" s="6" t="str">
        <f t="shared" si="3"/>
        <v/>
      </c>
    </row>
    <row r="313">
      <c r="A313" s="5"/>
      <c r="B313" s="5"/>
      <c r="C313" s="5"/>
      <c r="D313" s="5"/>
      <c r="E313" s="5"/>
      <c r="F313" s="3"/>
      <c r="G313" s="5"/>
      <c r="H313" s="5"/>
      <c r="I313" s="5" t="str">
        <f t="shared" si="4"/>
        <v/>
      </c>
      <c r="J313" s="6" t="str">
        <f t="shared" si="2"/>
        <v/>
      </c>
      <c r="K313" s="6" t="str">
        <f t="shared" si="3"/>
        <v/>
      </c>
    </row>
    <row r="314">
      <c r="A314" s="5"/>
      <c r="B314" s="5"/>
      <c r="C314" s="5"/>
      <c r="D314" s="5"/>
      <c r="E314" s="5"/>
      <c r="F314" s="3"/>
      <c r="G314" s="5"/>
      <c r="H314" s="5"/>
      <c r="I314" s="5" t="str">
        <f t="shared" si="4"/>
        <v/>
      </c>
      <c r="J314" s="6" t="str">
        <f t="shared" si="2"/>
        <v/>
      </c>
      <c r="K314" s="6" t="str">
        <f t="shared" si="3"/>
        <v/>
      </c>
    </row>
    <row r="315">
      <c r="A315" s="5"/>
      <c r="B315" s="5"/>
      <c r="C315" s="5"/>
      <c r="D315" s="5"/>
      <c r="E315" s="5"/>
      <c r="F315" s="3"/>
      <c r="G315" s="5"/>
      <c r="H315" s="5"/>
      <c r="I315" s="5" t="str">
        <f t="shared" si="4"/>
        <v/>
      </c>
      <c r="J315" s="6" t="str">
        <f t="shared" si="2"/>
        <v/>
      </c>
      <c r="K315" s="6" t="str">
        <f t="shared" si="3"/>
        <v/>
      </c>
    </row>
    <row r="316">
      <c r="A316" s="5"/>
      <c r="B316" s="5"/>
      <c r="C316" s="5"/>
      <c r="D316" s="5"/>
      <c r="E316" s="5"/>
      <c r="F316" s="3"/>
      <c r="G316" s="5"/>
      <c r="H316" s="5"/>
      <c r="I316" s="5" t="str">
        <f t="shared" si="4"/>
        <v/>
      </c>
      <c r="J316" s="6" t="str">
        <f t="shared" si="2"/>
        <v/>
      </c>
      <c r="K316" s="6" t="str">
        <f t="shared" si="3"/>
        <v/>
      </c>
    </row>
    <row r="317">
      <c r="A317" s="5"/>
      <c r="B317" s="5"/>
      <c r="C317" s="5"/>
      <c r="D317" s="5"/>
      <c r="E317" s="5"/>
      <c r="F317" s="3"/>
      <c r="G317" s="5"/>
      <c r="H317" s="5"/>
      <c r="I317" s="5" t="str">
        <f t="shared" si="4"/>
        <v/>
      </c>
      <c r="J317" s="6" t="str">
        <f t="shared" si="2"/>
        <v/>
      </c>
      <c r="K317" s="6" t="str">
        <f t="shared" si="3"/>
        <v/>
      </c>
    </row>
    <row r="318">
      <c r="A318" s="5"/>
      <c r="B318" s="5"/>
      <c r="C318" s="5"/>
      <c r="D318" s="5"/>
      <c r="E318" s="5"/>
      <c r="F318" s="3"/>
      <c r="G318" s="5"/>
      <c r="H318" s="5"/>
      <c r="I318" s="5" t="str">
        <f t="shared" si="4"/>
        <v/>
      </c>
      <c r="J318" s="6" t="str">
        <f t="shared" si="2"/>
        <v/>
      </c>
      <c r="K318" s="6" t="str">
        <f t="shared" si="3"/>
        <v/>
      </c>
    </row>
    <row r="319">
      <c r="A319" s="5"/>
      <c r="B319" s="5"/>
      <c r="C319" s="5"/>
      <c r="D319" s="5"/>
      <c r="E319" s="5"/>
      <c r="F319" s="3"/>
      <c r="G319" s="5"/>
      <c r="H319" s="5"/>
      <c r="I319" s="5" t="str">
        <f t="shared" si="4"/>
        <v/>
      </c>
      <c r="J319" s="6" t="str">
        <f t="shared" si="2"/>
        <v/>
      </c>
      <c r="K319" s="6" t="str">
        <f t="shared" si="3"/>
        <v/>
      </c>
    </row>
    <row r="320">
      <c r="A320" s="5"/>
      <c r="B320" s="5"/>
      <c r="C320" s="5"/>
      <c r="D320" s="5"/>
      <c r="E320" s="5"/>
      <c r="F320" s="3"/>
      <c r="G320" s="5"/>
      <c r="H320" s="5"/>
      <c r="I320" s="5" t="str">
        <f t="shared" si="4"/>
        <v/>
      </c>
      <c r="J320" s="6" t="str">
        <f t="shared" si="2"/>
        <v/>
      </c>
      <c r="K320" s="6" t="str">
        <f t="shared" si="3"/>
        <v/>
      </c>
    </row>
    <row r="321">
      <c r="A321" s="5"/>
      <c r="B321" s="5"/>
      <c r="C321" s="5"/>
      <c r="D321" s="5"/>
      <c r="E321" s="5"/>
      <c r="F321" s="3"/>
      <c r="G321" s="5"/>
      <c r="H321" s="5"/>
      <c r="I321" s="5" t="str">
        <f t="shared" si="4"/>
        <v/>
      </c>
      <c r="J321" s="6" t="str">
        <f t="shared" si="2"/>
        <v/>
      </c>
      <c r="K321" s="6" t="str">
        <f t="shared" si="3"/>
        <v/>
      </c>
    </row>
    <row r="322">
      <c r="A322" s="5"/>
      <c r="B322" s="5"/>
      <c r="C322" s="5"/>
      <c r="D322" s="5"/>
      <c r="E322" s="5"/>
      <c r="F322" s="3"/>
      <c r="G322" s="5"/>
      <c r="H322" s="5"/>
      <c r="I322" s="5" t="str">
        <f t="shared" si="4"/>
        <v/>
      </c>
      <c r="J322" s="6" t="str">
        <f t="shared" si="2"/>
        <v/>
      </c>
      <c r="K322" s="6" t="str">
        <f t="shared" si="3"/>
        <v/>
      </c>
    </row>
    <row r="323">
      <c r="A323" s="5"/>
      <c r="B323" s="5"/>
      <c r="C323" s="5"/>
      <c r="D323" s="5"/>
      <c r="E323" s="5"/>
      <c r="F323" s="3"/>
      <c r="G323" s="5"/>
      <c r="H323" s="5"/>
      <c r="I323" s="5" t="str">
        <f t="shared" si="4"/>
        <v/>
      </c>
      <c r="J323" s="6" t="str">
        <f t="shared" si="2"/>
        <v/>
      </c>
      <c r="K323" s="6" t="str">
        <f t="shared" si="3"/>
        <v/>
      </c>
    </row>
    <row r="324">
      <c r="A324" s="5"/>
      <c r="B324" s="5"/>
      <c r="C324" s="5"/>
      <c r="D324" s="5"/>
      <c r="E324" s="5"/>
      <c r="F324" s="3"/>
      <c r="G324" s="5"/>
      <c r="H324" s="5"/>
      <c r="I324" s="5" t="str">
        <f t="shared" si="4"/>
        <v/>
      </c>
      <c r="J324" s="6" t="str">
        <f t="shared" si="2"/>
        <v/>
      </c>
      <c r="K324" s="6" t="str">
        <f t="shared" si="3"/>
        <v/>
      </c>
    </row>
    <row r="325">
      <c r="A325" s="5"/>
      <c r="B325" s="5"/>
      <c r="C325" s="5"/>
      <c r="D325" s="5"/>
      <c r="E325" s="5"/>
      <c r="F325" s="3"/>
      <c r="G325" s="5"/>
      <c r="H325" s="5"/>
      <c r="I325" s="5" t="str">
        <f t="shared" si="4"/>
        <v/>
      </c>
      <c r="J325" s="6" t="str">
        <f t="shared" si="2"/>
        <v/>
      </c>
      <c r="K325" s="6" t="str">
        <f t="shared" si="3"/>
        <v/>
      </c>
    </row>
    <row r="326">
      <c r="A326" s="5"/>
      <c r="B326" s="5"/>
      <c r="C326" s="5"/>
      <c r="D326" s="5"/>
      <c r="E326" s="5"/>
      <c r="F326" s="3"/>
      <c r="G326" s="5"/>
      <c r="H326" s="5"/>
      <c r="I326" s="5" t="str">
        <f t="shared" si="4"/>
        <v/>
      </c>
      <c r="J326" s="6" t="str">
        <f t="shared" si="2"/>
        <v/>
      </c>
      <c r="K326" s="6" t="str">
        <f t="shared" si="3"/>
        <v/>
      </c>
    </row>
    <row r="327">
      <c r="A327" s="5"/>
      <c r="B327" s="5"/>
      <c r="C327" s="5"/>
      <c r="D327" s="5"/>
      <c r="E327" s="5"/>
      <c r="F327" s="3"/>
      <c r="G327" s="5"/>
      <c r="H327" s="5"/>
      <c r="I327" s="5" t="str">
        <f t="shared" si="4"/>
        <v/>
      </c>
      <c r="J327" s="6" t="str">
        <f t="shared" si="2"/>
        <v/>
      </c>
      <c r="K327" s="6" t="str">
        <f t="shared" si="3"/>
        <v/>
      </c>
    </row>
    <row r="328">
      <c r="A328" s="5"/>
      <c r="B328" s="5"/>
      <c r="C328" s="5"/>
      <c r="D328" s="5"/>
      <c r="E328" s="5"/>
      <c r="F328" s="3"/>
      <c r="G328" s="5"/>
      <c r="H328" s="5"/>
      <c r="I328" s="5" t="str">
        <f t="shared" si="4"/>
        <v/>
      </c>
      <c r="J328" s="6" t="str">
        <f t="shared" si="2"/>
        <v/>
      </c>
      <c r="K328" s="6" t="str">
        <f t="shared" si="3"/>
        <v/>
      </c>
    </row>
    <row r="329">
      <c r="A329" s="5"/>
      <c r="B329" s="5"/>
      <c r="C329" s="5"/>
      <c r="D329" s="5"/>
      <c r="E329" s="5"/>
      <c r="F329" s="3"/>
      <c r="G329" s="5"/>
      <c r="H329" s="5"/>
      <c r="I329" s="5" t="str">
        <f t="shared" si="4"/>
        <v/>
      </c>
      <c r="J329" s="6" t="str">
        <f t="shared" si="2"/>
        <v/>
      </c>
      <c r="K329" s="6" t="str">
        <f t="shared" si="3"/>
        <v/>
      </c>
    </row>
    <row r="330">
      <c r="A330" s="5"/>
      <c r="B330" s="5"/>
      <c r="C330" s="5"/>
      <c r="D330" s="5"/>
      <c r="E330" s="5"/>
      <c r="F330" s="3"/>
      <c r="G330" s="5"/>
      <c r="H330" s="5"/>
      <c r="I330" s="5" t="str">
        <f t="shared" si="4"/>
        <v/>
      </c>
      <c r="J330" s="6" t="str">
        <f t="shared" si="2"/>
        <v/>
      </c>
      <c r="K330" s="6" t="str">
        <f t="shared" si="3"/>
        <v/>
      </c>
    </row>
    <row r="331">
      <c r="A331" s="5"/>
      <c r="B331" s="5"/>
      <c r="C331" s="5"/>
      <c r="D331" s="5"/>
      <c r="E331" s="5"/>
      <c r="F331" s="3"/>
      <c r="G331" s="5"/>
      <c r="H331" s="5"/>
      <c r="I331" s="5" t="str">
        <f t="shared" si="4"/>
        <v/>
      </c>
      <c r="J331" s="6" t="str">
        <f t="shared" si="2"/>
        <v/>
      </c>
      <c r="K331" s="6" t="str">
        <f t="shared" si="3"/>
        <v/>
      </c>
    </row>
    <row r="332">
      <c r="A332" s="5"/>
      <c r="B332" s="5"/>
      <c r="C332" s="5"/>
      <c r="D332" s="5"/>
      <c r="E332" s="5"/>
      <c r="F332" s="3"/>
      <c r="G332" s="5"/>
      <c r="H332" s="5"/>
      <c r="I332" s="5" t="str">
        <f t="shared" si="4"/>
        <v/>
      </c>
      <c r="J332" s="6" t="str">
        <f t="shared" si="2"/>
        <v/>
      </c>
      <c r="K332" s="6" t="str">
        <f t="shared" si="3"/>
        <v/>
      </c>
    </row>
    <row r="333">
      <c r="A333" s="5"/>
      <c r="B333" s="5"/>
      <c r="C333" s="5"/>
      <c r="D333" s="5"/>
      <c r="E333" s="5"/>
      <c r="F333" s="3"/>
      <c r="G333" s="5"/>
      <c r="H333" s="5"/>
      <c r="I333" s="5" t="str">
        <f t="shared" si="4"/>
        <v/>
      </c>
      <c r="J333" s="6" t="str">
        <f t="shared" si="2"/>
        <v/>
      </c>
      <c r="K333" s="6" t="str">
        <f t="shared" si="3"/>
        <v/>
      </c>
    </row>
    <row r="334">
      <c r="A334" s="5"/>
      <c r="B334" s="5"/>
      <c r="C334" s="5"/>
      <c r="D334" s="5"/>
      <c r="E334" s="5"/>
      <c r="F334" s="3"/>
      <c r="G334" s="5"/>
      <c r="H334" s="5"/>
      <c r="I334" s="5" t="str">
        <f t="shared" si="4"/>
        <v/>
      </c>
      <c r="J334" s="6" t="str">
        <f t="shared" si="2"/>
        <v/>
      </c>
      <c r="K334" s="6" t="str">
        <f t="shared" si="3"/>
        <v/>
      </c>
    </row>
    <row r="335">
      <c r="A335" s="5"/>
      <c r="B335" s="5"/>
      <c r="C335" s="5"/>
      <c r="D335" s="5"/>
      <c r="E335" s="5"/>
      <c r="F335" s="3"/>
      <c r="G335" s="5"/>
      <c r="H335" s="5"/>
      <c r="I335" s="5" t="str">
        <f t="shared" si="4"/>
        <v/>
      </c>
      <c r="J335" s="6" t="str">
        <f t="shared" si="2"/>
        <v/>
      </c>
      <c r="K335" s="6" t="str">
        <f t="shared" si="3"/>
        <v/>
      </c>
    </row>
    <row r="336">
      <c r="A336" s="5"/>
      <c r="B336" s="5"/>
      <c r="C336" s="5"/>
      <c r="D336" s="5"/>
      <c r="E336" s="5"/>
      <c r="F336" s="3"/>
      <c r="G336" s="5"/>
      <c r="H336" s="5"/>
      <c r="I336" s="5" t="str">
        <f t="shared" si="4"/>
        <v/>
      </c>
      <c r="J336" s="6" t="str">
        <f t="shared" si="2"/>
        <v/>
      </c>
      <c r="K336" s="6" t="str">
        <f t="shared" si="3"/>
        <v/>
      </c>
    </row>
    <row r="337">
      <c r="A337" s="5"/>
      <c r="B337" s="5"/>
      <c r="C337" s="5"/>
      <c r="D337" s="5"/>
      <c r="E337" s="5"/>
      <c r="F337" s="3"/>
      <c r="G337" s="5"/>
      <c r="H337" s="5"/>
      <c r="I337" s="5" t="str">
        <f t="shared" si="4"/>
        <v/>
      </c>
      <c r="J337" s="6" t="str">
        <f t="shared" si="2"/>
        <v/>
      </c>
      <c r="K337" s="6" t="str">
        <f t="shared" si="3"/>
        <v/>
      </c>
    </row>
    <row r="338">
      <c r="A338" s="5"/>
      <c r="B338" s="5"/>
      <c r="C338" s="5"/>
      <c r="D338" s="5"/>
      <c r="E338" s="5"/>
      <c r="F338" s="3"/>
      <c r="G338" s="5"/>
      <c r="H338" s="5"/>
      <c r="I338" s="5" t="str">
        <f t="shared" si="4"/>
        <v/>
      </c>
      <c r="J338" s="6" t="str">
        <f t="shared" si="2"/>
        <v/>
      </c>
      <c r="K338" s="6" t="str">
        <f t="shared" si="3"/>
        <v/>
      </c>
    </row>
    <row r="339">
      <c r="A339" s="5"/>
      <c r="B339" s="5"/>
      <c r="C339" s="5"/>
      <c r="D339" s="5"/>
      <c r="E339" s="5"/>
      <c r="F339" s="3"/>
      <c r="G339" s="5"/>
      <c r="H339" s="5"/>
      <c r="I339" s="5" t="str">
        <f t="shared" si="4"/>
        <v/>
      </c>
      <c r="J339" s="6" t="str">
        <f t="shared" si="2"/>
        <v/>
      </c>
      <c r="K339" s="6" t="str">
        <f t="shared" si="3"/>
        <v/>
      </c>
    </row>
    <row r="340">
      <c r="A340" s="5"/>
      <c r="B340" s="5"/>
      <c r="C340" s="5"/>
      <c r="D340" s="5"/>
      <c r="E340" s="5"/>
      <c r="F340" s="3"/>
      <c r="G340" s="5"/>
      <c r="H340" s="5"/>
      <c r="I340" s="5" t="str">
        <f t="shared" si="4"/>
        <v/>
      </c>
      <c r="J340" s="6" t="str">
        <f t="shared" si="2"/>
        <v/>
      </c>
      <c r="K340" s="6" t="str">
        <f t="shared" si="3"/>
        <v/>
      </c>
    </row>
    <row r="341">
      <c r="A341" s="5"/>
      <c r="B341" s="5"/>
      <c r="C341" s="5"/>
      <c r="D341" s="5"/>
      <c r="E341" s="5"/>
      <c r="F341" s="3"/>
      <c r="G341" s="5"/>
      <c r="H341" s="5"/>
      <c r="I341" s="5" t="str">
        <f t="shared" si="4"/>
        <v/>
      </c>
      <c r="J341" s="6" t="str">
        <f t="shared" si="2"/>
        <v/>
      </c>
      <c r="K341" s="6" t="str">
        <f t="shared" si="3"/>
        <v/>
      </c>
    </row>
    <row r="342">
      <c r="A342" s="5"/>
      <c r="B342" s="5"/>
      <c r="C342" s="5"/>
      <c r="D342" s="5"/>
      <c r="E342" s="5"/>
      <c r="F342" s="3"/>
      <c r="G342" s="5"/>
      <c r="H342" s="5"/>
      <c r="I342" s="5" t="str">
        <f t="shared" si="4"/>
        <v/>
      </c>
      <c r="J342" s="6" t="str">
        <f t="shared" si="2"/>
        <v/>
      </c>
      <c r="K342" s="6" t="str">
        <f t="shared" si="3"/>
        <v/>
      </c>
    </row>
    <row r="343">
      <c r="A343" s="5"/>
      <c r="B343" s="5"/>
      <c r="C343" s="5"/>
      <c r="D343" s="5"/>
      <c r="E343" s="5"/>
      <c r="F343" s="3"/>
      <c r="G343" s="5"/>
      <c r="H343" s="5"/>
      <c r="I343" s="5" t="str">
        <f t="shared" si="4"/>
        <v/>
      </c>
      <c r="J343" s="6" t="str">
        <f t="shared" si="2"/>
        <v/>
      </c>
      <c r="K343" s="6" t="str">
        <f t="shared" si="3"/>
        <v/>
      </c>
    </row>
    <row r="344">
      <c r="A344" s="5"/>
      <c r="B344" s="5"/>
      <c r="C344" s="5"/>
      <c r="D344" s="5"/>
      <c r="E344" s="5"/>
      <c r="F344" s="3"/>
      <c r="G344" s="5"/>
      <c r="H344" s="5"/>
      <c r="I344" s="5" t="str">
        <f t="shared" si="4"/>
        <v/>
      </c>
      <c r="J344" s="6" t="str">
        <f t="shared" si="2"/>
        <v/>
      </c>
      <c r="K344" s="6" t="str">
        <f t="shared" si="3"/>
        <v/>
      </c>
    </row>
    <row r="345">
      <c r="A345" s="5"/>
      <c r="B345" s="5"/>
      <c r="C345" s="5"/>
      <c r="D345" s="5"/>
      <c r="E345" s="5"/>
      <c r="F345" s="3"/>
      <c r="G345" s="5"/>
      <c r="H345" s="5"/>
      <c r="I345" s="5" t="str">
        <f t="shared" si="4"/>
        <v/>
      </c>
      <c r="J345" s="6" t="str">
        <f t="shared" si="2"/>
        <v/>
      </c>
      <c r="K345" s="6" t="str">
        <f t="shared" si="3"/>
        <v/>
      </c>
    </row>
    <row r="346">
      <c r="A346" s="5"/>
      <c r="B346" s="5"/>
      <c r="C346" s="5"/>
      <c r="D346" s="5"/>
      <c r="E346" s="5"/>
      <c r="F346" s="3"/>
      <c r="G346" s="5"/>
      <c r="H346" s="5"/>
      <c r="I346" s="5" t="str">
        <f t="shared" si="4"/>
        <v/>
      </c>
      <c r="J346" s="6" t="str">
        <f t="shared" si="2"/>
        <v/>
      </c>
      <c r="K346" s="6" t="str">
        <f t="shared" si="3"/>
        <v/>
      </c>
    </row>
    <row r="347">
      <c r="A347" s="5"/>
      <c r="B347" s="5"/>
      <c r="C347" s="5"/>
      <c r="D347" s="5"/>
      <c r="E347" s="5"/>
      <c r="F347" s="3"/>
      <c r="G347" s="5"/>
      <c r="H347" s="5"/>
      <c r="I347" s="5" t="str">
        <f t="shared" si="4"/>
        <v/>
      </c>
      <c r="J347" s="6" t="str">
        <f t="shared" si="2"/>
        <v/>
      </c>
      <c r="K347" s="6" t="str">
        <f t="shared" si="3"/>
        <v/>
      </c>
    </row>
    <row r="348">
      <c r="A348" s="5"/>
      <c r="B348" s="5"/>
      <c r="C348" s="5"/>
      <c r="D348" s="5"/>
      <c r="E348" s="5"/>
      <c r="F348" s="3"/>
      <c r="G348" s="5"/>
      <c r="H348" s="5"/>
      <c r="I348" s="5" t="str">
        <f t="shared" si="4"/>
        <v/>
      </c>
      <c r="J348" s="6" t="str">
        <f t="shared" si="2"/>
        <v/>
      </c>
      <c r="K348" s="6" t="str">
        <f t="shared" si="3"/>
        <v/>
      </c>
    </row>
    <row r="349">
      <c r="A349" s="5"/>
      <c r="B349" s="5"/>
      <c r="C349" s="5"/>
      <c r="D349" s="5"/>
      <c r="E349" s="5"/>
      <c r="F349" s="3"/>
      <c r="G349" s="5"/>
      <c r="H349" s="5"/>
      <c r="I349" s="5" t="str">
        <f t="shared" si="4"/>
        <v/>
      </c>
      <c r="J349" s="6" t="str">
        <f t="shared" si="2"/>
        <v/>
      </c>
      <c r="K349" s="6" t="str">
        <f t="shared" si="3"/>
        <v/>
      </c>
    </row>
    <row r="350">
      <c r="A350" s="5"/>
      <c r="B350" s="5"/>
      <c r="C350" s="5"/>
      <c r="D350" s="5"/>
      <c r="E350" s="5"/>
      <c r="F350" s="3"/>
      <c r="G350" s="5"/>
      <c r="H350" s="5"/>
      <c r="I350" s="5" t="str">
        <f t="shared" si="4"/>
        <v/>
      </c>
      <c r="J350" s="6" t="str">
        <f t="shared" si="2"/>
        <v/>
      </c>
      <c r="K350" s="6" t="str">
        <f t="shared" si="3"/>
        <v/>
      </c>
    </row>
    <row r="351">
      <c r="A351" s="5"/>
      <c r="B351" s="5"/>
      <c r="C351" s="5"/>
      <c r="D351" s="5"/>
      <c r="E351" s="5"/>
      <c r="F351" s="3"/>
      <c r="G351" s="5"/>
      <c r="H351" s="5"/>
      <c r="I351" s="5" t="str">
        <f t="shared" si="4"/>
        <v/>
      </c>
      <c r="J351" s="6" t="str">
        <f t="shared" si="2"/>
        <v/>
      </c>
      <c r="K351" s="6" t="str">
        <f t="shared" si="3"/>
        <v/>
      </c>
    </row>
    <row r="352">
      <c r="A352" s="5"/>
      <c r="B352" s="5"/>
      <c r="C352" s="5"/>
      <c r="D352" s="5"/>
      <c r="E352" s="5"/>
      <c r="F352" s="3"/>
      <c r="G352" s="5"/>
      <c r="H352" s="5"/>
      <c r="I352" s="5" t="str">
        <f t="shared" si="4"/>
        <v/>
      </c>
      <c r="J352" s="6" t="str">
        <f t="shared" si="2"/>
        <v/>
      </c>
      <c r="K352" s="6" t="str">
        <f t="shared" si="3"/>
        <v/>
      </c>
    </row>
    <row r="353">
      <c r="A353" s="5"/>
      <c r="B353" s="5"/>
      <c r="C353" s="5"/>
      <c r="D353" s="5"/>
      <c r="E353" s="5"/>
      <c r="F353" s="3"/>
      <c r="G353" s="5"/>
      <c r="H353" s="5"/>
      <c r="I353" s="5" t="str">
        <f t="shared" si="4"/>
        <v/>
      </c>
      <c r="J353" s="6" t="str">
        <f t="shared" si="2"/>
        <v/>
      </c>
      <c r="K353" s="6" t="str">
        <f t="shared" si="3"/>
        <v/>
      </c>
    </row>
    <row r="354">
      <c r="A354" s="5"/>
      <c r="B354" s="5"/>
      <c r="C354" s="5"/>
      <c r="D354" s="5"/>
      <c r="E354" s="5"/>
      <c r="F354" s="3"/>
      <c r="G354" s="5"/>
      <c r="H354" s="5"/>
      <c r="I354" s="5" t="str">
        <f t="shared" si="4"/>
        <v/>
      </c>
      <c r="J354" s="6" t="str">
        <f t="shared" si="2"/>
        <v/>
      </c>
      <c r="K354" s="6" t="str">
        <f t="shared" si="3"/>
        <v/>
      </c>
    </row>
    <row r="355">
      <c r="A355" s="5"/>
      <c r="B355" s="5"/>
      <c r="C355" s="5"/>
      <c r="D355" s="5"/>
      <c r="E355" s="5"/>
      <c r="F355" s="3"/>
      <c r="G355" s="5"/>
      <c r="H355" s="5"/>
      <c r="I355" s="5" t="str">
        <f t="shared" si="4"/>
        <v/>
      </c>
      <c r="J355" s="6" t="str">
        <f t="shared" si="2"/>
        <v/>
      </c>
      <c r="K355" s="6" t="str">
        <f t="shared" si="3"/>
        <v/>
      </c>
    </row>
    <row r="356">
      <c r="A356" s="5"/>
      <c r="B356" s="5"/>
      <c r="C356" s="5"/>
      <c r="D356" s="5"/>
      <c r="E356" s="5"/>
      <c r="F356" s="3"/>
      <c r="G356" s="5"/>
      <c r="H356" s="5"/>
      <c r="I356" s="5" t="str">
        <f t="shared" si="4"/>
        <v/>
      </c>
      <c r="J356" s="6" t="str">
        <f t="shared" si="2"/>
        <v/>
      </c>
      <c r="K356" s="6" t="str">
        <f t="shared" si="3"/>
        <v/>
      </c>
    </row>
    <row r="357">
      <c r="A357" s="5"/>
      <c r="B357" s="5"/>
      <c r="C357" s="5"/>
      <c r="D357" s="5"/>
      <c r="E357" s="5"/>
      <c r="F357" s="3"/>
      <c r="G357" s="5"/>
      <c r="H357" s="5"/>
      <c r="I357" s="5" t="str">
        <f t="shared" si="4"/>
        <v/>
      </c>
      <c r="J357" s="6" t="str">
        <f t="shared" si="2"/>
        <v/>
      </c>
      <c r="K357" s="6" t="str">
        <f t="shared" si="3"/>
        <v/>
      </c>
    </row>
    <row r="358">
      <c r="A358" s="5"/>
      <c r="B358" s="5"/>
      <c r="C358" s="5"/>
      <c r="D358" s="5"/>
      <c r="E358" s="5"/>
      <c r="F358" s="3"/>
      <c r="G358" s="5"/>
      <c r="H358" s="5"/>
      <c r="I358" s="5" t="str">
        <f t="shared" si="4"/>
        <v/>
      </c>
      <c r="J358" s="6" t="str">
        <f t="shared" si="2"/>
        <v/>
      </c>
      <c r="K358" s="6" t="str">
        <f t="shared" si="3"/>
        <v/>
      </c>
    </row>
    <row r="359">
      <c r="A359" s="5"/>
      <c r="B359" s="5"/>
      <c r="C359" s="5"/>
      <c r="D359" s="5"/>
      <c r="E359" s="5"/>
      <c r="F359" s="3"/>
      <c r="G359" s="5"/>
      <c r="H359" s="5"/>
      <c r="I359" s="5" t="str">
        <f t="shared" si="4"/>
        <v/>
      </c>
      <c r="J359" s="6" t="str">
        <f t="shared" si="2"/>
        <v/>
      </c>
      <c r="K359" s="6" t="str">
        <f t="shared" si="3"/>
        <v/>
      </c>
    </row>
    <row r="360">
      <c r="A360" s="5"/>
      <c r="B360" s="5"/>
      <c r="C360" s="5"/>
      <c r="D360" s="5"/>
      <c r="E360" s="5"/>
      <c r="F360" s="3"/>
      <c r="G360" s="5"/>
      <c r="H360" s="5"/>
      <c r="I360" s="5" t="str">
        <f t="shared" si="4"/>
        <v/>
      </c>
      <c r="J360" s="6" t="str">
        <f t="shared" si="2"/>
        <v/>
      </c>
      <c r="K360" s="6" t="str">
        <f t="shared" si="3"/>
        <v/>
      </c>
    </row>
    <row r="361">
      <c r="A361" s="5"/>
      <c r="B361" s="5"/>
      <c r="C361" s="5"/>
      <c r="D361" s="5"/>
      <c r="E361" s="5"/>
      <c r="F361" s="3"/>
      <c r="G361" s="5"/>
      <c r="H361" s="5"/>
      <c r="I361" s="5" t="str">
        <f t="shared" si="4"/>
        <v/>
      </c>
      <c r="J361" s="6" t="str">
        <f t="shared" si="2"/>
        <v/>
      </c>
      <c r="K361" s="6" t="str">
        <f t="shared" si="3"/>
        <v/>
      </c>
    </row>
    <row r="362">
      <c r="A362" s="5"/>
      <c r="B362" s="5"/>
      <c r="C362" s="5"/>
      <c r="D362" s="5"/>
      <c r="E362" s="5"/>
      <c r="F362" s="3"/>
      <c r="G362" s="5"/>
      <c r="H362" s="5"/>
      <c r="I362" s="5" t="str">
        <f t="shared" si="4"/>
        <v/>
      </c>
      <c r="J362" s="6" t="str">
        <f t="shared" si="2"/>
        <v/>
      </c>
      <c r="K362" s="6" t="str">
        <f t="shared" si="3"/>
        <v/>
      </c>
    </row>
    <row r="363">
      <c r="A363" s="5"/>
      <c r="B363" s="5"/>
      <c r="C363" s="5"/>
      <c r="D363" s="5"/>
      <c r="E363" s="5"/>
      <c r="F363" s="3"/>
      <c r="G363" s="5"/>
      <c r="H363" s="5"/>
      <c r="I363" s="5" t="str">
        <f t="shared" si="4"/>
        <v/>
      </c>
      <c r="J363" s="6" t="str">
        <f t="shared" si="2"/>
        <v/>
      </c>
      <c r="K363" s="6" t="str">
        <f t="shared" si="3"/>
        <v/>
      </c>
    </row>
    <row r="364">
      <c r="A364" s="5"/>
      <c r="B364" s="5"/>
      <c r="C364" s="5"/>
      <c r="D364" s="5"/>
      <c r="E364" s="5"/>
      <c r="F364" s="3"/>
      <c r="G364" s="5"/>
      <c r="H364" s="5"/>
      <c r="I364" s="5" t="str">
        <f t="shared" si="4"/>
        <v/>
      </c>
      <c r="J364" s="6" t="str">
        <f t="shared" si="2"/>
        <v/>
      </c>
      <c r="K364" s="6" t="str">
        <f t="shared" si="3"/>
        <v/>
      </c>
    </row>
    <row r="365">
      <c r="A365" s="5"/>
      <c r="B365" s="5"/>
      <c r="C365" s="5"/>
      <c r="D365" s="5"/>
      <c r="E365" s="5"/>
      <c r="F365" s="3"/>
      <c r="G365" s="5"/>
      <c r="H365" s="5"/>
      <c r="I365" s="5" t="str">
        <f t="shared" si="4"/>
        <v/>
      </c>
      <c r="J365" s="6" t="str">
        <f t="shared" si="2"/>
        <v/>
      </c>
      <c r="K365" s="6" t="str">
        <f t="shared" si="3"/>
        <v/>
      </c>
    </row>
    <row r="366">
      <c r="A366" s="5"/>
      <c r="B366" s="5"/>
      <c r="C366" s="5"/>
      <c r="D366" s="5"/>
      <c r="E366" s="5"/>
      <c r="F366" s="3"/>
      <c r="G366" s="5"/>
      <c r="H366" s="5"/>
      <c r="I366" s="5" t="str">
        <f t="shared" si="4"/>
        <v/>
      </c>
      <c r="J366" s="6" t="str">
        <f t="shared" si="2"/>
        <v/>
      </c>
      <c r="K366" s="6" t="str">
        <f t="shared" si="3"/>
        <v/>
      </c>
    </row>
    <row r="367">
      <c r="A367" s="5"/>
      <c r="B367" s="5"/>
      <c r="C367" s="5"/>
      <c r="D367" s="5"/>
      <c r="E367" s="5"/>
      <c r="F367" s="3"/>
      <c r="G367" s="5"/>
      <c r="H367" s="5"/>
      <c r="I367" s="5" t="str">
        <f t="shared" si="4"/>
        <v/>
      </c>
      <c r="J367" s="6" t="str">
        <f t="shared" si="2"/>
        <v/>
      </c>
      <c r="K367" s="6" t="str">
        <f t="shared" si="3"/>
        <v/>
      </c>
    </row>
    <row r="368">
      <c r="A368" s="5"/>
      <c r="B368" s="5"/>
      <c r="C368" s="5"/>
      <c r="D368" s="5"/>
      <c r="E368" s="5"/>
      <c r="F368" s="3"/>
      <c r="G368" s="5"/>
      <c r="H368" s="5"/>
      <c r="I368" s="5" t="str">
        <f t="shared" si="4"/>
        <v/>
      </c>
      <c r="J368" s="6" t="str">
        <f t="shared" si="2"/>
        <v/>
      </c>
      <c r="K368" s="6" t="str">
        <f t="shared" si="3"/>
        <v/>
      </c>
    </row>
    <row r="369">
      <c r="A369" s="5"/>
      <c r="B369" s="5"/>
      <c r="C369" s="5"/>
      <c r="D369" s="5"/>
      <c r="E369" s="5"/>
      <c r="F369" s="3"/>
      <c r="G369" s="5"/>
      <c r="H369" s="5"/>
      <c r="I369" s="5" t="str">
        <f t="shared" si="4"/>
        <v/>
      </c>
      <c r="J369" s="6" t="str">
        <f t="shared" si="2"/>
        <v/>
      </c>
      <c r="K369" s="6" t="str">
        <f t="shared" si="3"/>
        <v/>
      </c>
    </row>
    <row r="370">
      <c r="A370" s="5"/>
      <c r="B370" s="5"/>
      <c r="C370" s="5"/>
      <c r="D370" s="5"/>
      <c r="E370" s="5"/>
      <c r="F370" s="3"/>
      <c r="G370" s="5"/>
      <c r="H370" s="5"/>
      <c r="I370" s="5" t="str">
        <f t="shared" si="4"/>
        <v/>
      </c>
      <c r="J370" s="6" t="str">
        <f t="shared" si="2"/>
        <v/>
      </c>
      <c r="K370" s="6" t="str">
        <f t="shared" si="3"/>
        <v/>
      </c>
    </row>
    <row r="371">
      <c r="A371" s="5"/>
      <c r="B371" s="5"/>
      <c r="C371" s="5"/>
      <c r="D371" s="5"/>
      <c r="E371" s="5"/>
      <c r="F371" s="3"/>
      <c r="G371" s="5"/>
      <c r="H371" s="5"/>
      <c r="I371" s="5" t="str">
        <f t="shared" si="4"/>
        <v/>
      </c>
      <c r="J371" s="6" t="str">
        <f t="shared" si="2"/>
        <v/>
      </c>
      <c r="K371" s="6" t="str">
        <f t="shared" si="3"/>
        <v/>
      </c>
    </row>
    <row r="372">
      <c r="A372" s="5"/>
      <c r="B372" s="5"/>
      <c r="C372" s="5"/>
      <c r="D372" s="5"/>
      <c r="E372" s="5"/>
      <c r="F372" s="3"/>
      <c r="G372" s="5"/>
      <c r="H372" s="5"/>
      <c r="I372" s="5" t="str">
        <f t="shared" si="4"/>
        <v/>
      </c>
      <c r="J372" s="6" t="str">
        <f t="shared" si="2"/>
        <v/>
      </c>
      <c r="K372" s="6" t="str">
        <f t="shared" si="3"/>
        <v/>
      </c>
    </row>
    <row r="373">
      <c r="A373" s="5"/>
      <c r="B373" s="5"/>
      <c r="C373" s="5"/>
      <c r="D373" s="5"/>
      <c r="E373" s="5"/>
      <c r="F373" s="3"/>
      <c r="G373" s="5"/>
      <c r="H373" s="5"/>
      <c r="I373" s="5" t="str">
        <f t="shared" si="4"/>
        <v/>
      </c>
      <c r="J373" s="6" t="str">
        <f t="shared" si="2"/>
        <v/>
      </c>
      <c r="K373" s="6" t="str">
        <f t="shared" si="3"/>
        <v/>
      </c>
    </row>
    <row r="374">
      <c r="A374" s="5"/>
      <c r="B374" s="5"/>
      <c r="C374" s="5"/>
      <c r="D374" s="5"/>
      <c r="E374" s="5"/>
      <c r="F374" s="3"/>
      <c r="G374" s="5"/>
      <c r="H374" s="5"/>
      <c r="I374" s="5" t="str">
        <f t="shared" si="4"/>
        <v/>
      </c>
      <c r="J374" s="6" t="str">
        <f t="shared" si="2"/>
        <v/>
      </c>
      <c r="K374" s="6" t="str">
        <f t="shared" si="3"/>
        <v/>
      </c>
    </row>
    <row r="375">
      <c r="A375" s="5"/>
      <c r="B375" s="5"/>
      <c r="C375" s="5"/>
      <c r="D375" s="5"/>
      <c r="E375" s="5"/>
      <c r="F375" s="3"/>
      <c r="G375" s="5"/>
      <c r="H375" s="5"/>
      <c r="I375" s="5" t="str">
        <f t="shared" si="4"/>
        <v/>
      </c>
      <c r="J375" s="6" t="str">
        <f t="shared" si="2"/>
        <v/>
      </c>
      <c r="K375" s="6" t="str">
        <f t="shared" si="3"/>
        <v/>
      </c>
    </row>
    <row r="376">
      <c r="A376" s="5"/>
      <c r="B376" s="5"/>
      <c r="C376" s="5"/>
      <c r="D376" s="5"/>
      <c r="E376" s="5"/>
      <c r="F376" s="3"/>
      <c r="G376" s="5"/>
      <c r="H376" s="5"/>
      <c r="I376" s="5" t="str">
        <f t="shared" si="4"/>
        <v/>
      </c>
      <c r="J376" s="6" t="str">
        <f t="shared" si="2"/>
        <v/>
      </c>
      <c r="K376" s="6" t="str">
        <f t="shared" si="3"/>
        <v/>
      </c>
    </row>
    <row r="377">
      <c r="A377" s="5"/>
      <c r="B377" s="5"/>
      <c r="C377" s="5"/>
      <c r="D377" s="5"/>
      <c r="E377" s="5"/>
      <c r="F377" s="3"/>
      <c r="G377" s="5"/>
      <c r="H377" s="5"/>
      <c r="I377" s="5" t="str">
        <f t="shared" si="4"/>
        <v/>
      </c>
      <c r="J377" s="6" t="str">
        <f t="shared" si="2"/>
        <v/>
      </c>
      <c r="K377" s="6" t="str">
        <f t="shared" si="3"/>
        <v/>
      </c>
    </row>
    <row r="378">
      <c r="A378" s="5"/>
      <c r="B378" s="5"/>
      <c r="C378" s="5"/>
      <c r="D378" s="5"/>
      <c r="E378" s="5"/>
      <c r="F378" s="3"/>
      <c r="G378" s="5"/>
      <c r="H378" s="5"/>
      <c r="I378" s="5" t="str">
        <f t="shared" si="4"/>
        <v/>
      </c>
      <c r="J378" s="6" t="str">
        <f t="shared" si="2"/>
        <v/>
      </c>
      <c r="K378" s="6" t="str">
        <f t="shared" si="3"/>
        <v/>
      </c>
    </row>
    <row r="379">
      <c r="A379" s="5"/>
      <c r="B379" s="5"/>
      <c r="C379" s="5"/>
      <c r="D379" s="5"/>
      <c r="E379" s="5"/>
      <c r="F379" s="3"/>
      <c r="G379" s="5"/>
      <c r="H379" s="5"/>
      <c r="I379" s="5" t="str">
        <f t="shared" si="4"/>
        <v/>
      </c>
      <c r="J379" s="6" t="str">
        <f t="shared" si="2"/>
        <v/>
      </c>
      <c r="K379" s="6" t="str">
        <f t="shared" si="3"/>
        <v/>
      </c>
    </row>
    <row r="380">
      <c r="A380" s="5"/>
      <c r="B380" s="5"/>
      <c r="C380" s="5"/>
      <c r="D380" s="5"/>
      <c r="E380" s="5"/>
      <c r="F380" s="3"/>
      <c r="G380" s="5"/>
      <c r="H380" s="5"/>
      <c r="I380" s="5" t="str">
        <f t="shared" si="4"/>
        <v/>
      </c>
      <c r="J380" s="6" t="str">
        <f t="shared" si="2"/>
        <v/>
      </c>
      <c r="K380" s="6" t="str">
        <f t="shared" si="3"/>
        <v/>
      </c>
    </row>
    <row r="381">
      <c r="A381" s="5"/>
      <c r="B381" s="5"/>
      <c r="C381" s="5"/>
      <c r="D381" s="5"/>
      <c r="E381" s="5"/>
      <c r="F381" s="3"/>
      <c r="G381" s="5"/>
      <c r="H381" s="5"/>
      <c r="I381" s="5" t="str">
        <f t="shared" si="4"/>
        <v/>
      </c>
      <c r="J381" s="6" t="str">
        <f t="shared" si="2"/>
        <v/>
      </c>
      <c r="K381" s="6" t="str">
        <f t="shared" si="3"/>
        <v/>
      </c>
    </row>
    <row r="382">
      <c r="A382" s="5"/>
      <c r="B382" s="5"/>
      <c r="C382" s="5"/>
      <c r="D382" s="5"/>
      <c r="E382" s="5"/>
      <c r="F382" s="3"/>
      <c r="G382" s="5"/>
      <c r="H382" s="5"/>
      <c r="I382" s="5" t="str">
        <f t="shared" si="4"/>
        <v/>
      </c>
      <c r="J382" s="6" t="str">
        <f t="shared" si="2"/>
        <v/>
      </c>
      <c r="K382" s="6" t="str">
        <f t="shared" si="3"/>
        <v/>
      </c>
    </row>
    <row r="383">
      <c r="A383" s="5"/>
      <c r="B383" s="5"/>
      <c r="C383" s="5"/>
      <c r="D383" s="5"/>
      <c r="E383" s="5"/>
      <c r="F383" s="3"/>
      <c r="G383" s="5"/>
      <c r="H383" s="5"/>
      <c r="I383" s="5" t="str">
        <f t="shared" si="4"/>
        <v/>
      </c>
      <c r="J383" s="6" t="str">
        <f t="shared" si="2"/>
        <v/>
      </c>
      <c r="K383" s="6" t="str">
        <f t="shared" si="3"/>
        <v/>
      </c>
    </row>
    <row r="384">
      <c r="A384" s="5"/>
      <c r="B384" s="5"/>
      <c r="C384" s="5"/>
      <c r="D384" s="5"/>
      <c r="E384" s="5"/>
      <c r="F384" s="3"/>
      <c r="G384" s="5"/>
      <c r="H384" s="5"/>
      <c r="I384" s="5" t="str">
        <f t="shared" si="4"/>
        <v/>
      </c>
      <c r="J384" s="6" t="str">
        <f t="shared" si="2"/>
        <v/>
      </c>
      <c r="K384" s="6" t="str">
        <f t="shared" si="3"/>
        <v/>
      </c>
    </row>
    <row r="385">
      <c r="A385" s="5"/>
      <c r="B385" s="5"/>
      <c r="C385" s="5"/>
      <c r="D385" s="5"/>
      <c r="E385" s="5"/>
      <c r="F385" s="3"/>
      <c r="G385" s="5"/>
      <c r="H385" s="5"/>
      <c r="I385" s="5" t="str">
        <f t="shared" si="4"/>
        <v/>
      </c>
      <c r="J385" s="6" t="str">
        <f t="shared" si="2"/>
        <v/>
      </c>
      <c r="K385" s="6" t="str">
        <f t="shared" si="3"/>
        <v/>
      </c>
    </row>
    <row r="386">
      <c r="A386" s="5"/>
      <c r="B386" s="5"/>
      <c r="C386" s="5"/>
      <c r="D386" s="5"/>
      <c r="E386" s="5"/>
      <c r="F386" s="3"/>
      <c r="G386" s="5"/>
      <c r="H386" s="5"/>
      <c r="I386" s="5" t="str">
        <f t="shared" si="4"/>
        <v/>
      </c>
      <c r="J386" s="6" t="str">
        <f t="shared" si="2"/>
        <v/>
      </c>
      <c r="K386" s="6" t="str">
        <f t="shared" si="3"/>
        <v/>
      </c>
    </row>
    <row r="387">
      <c r="A387" s="5"/>
      <c r="B387" s="5"/>
      <c r="C387" s="5"/>
      <c r="D387" s="5"/>
      <c r="E387" s="5"/>
      <c r="F387" s="3"/>
      <c r="G387" s="5"/>
      <c r="H387" s="5"/>
      <c r="I387" s="5" t="str">
        <f t="shared" si="4"/>
        <v/>
      </c>
      <c r="J387" s="6" t="str">
        <f t="shared" si="2"/>
        <v/>
      </c>
      <c r="K387" s="6" t="str">
        <f t="shared" si="3"/>
        <v/>
      </c>
    </row>
    <row r="388">
      <c r="A388" s="5"/>
      <c r="B388" s="5"/>
      <c r="C388" s="5"/>
      <c r="D388" s="5"/>
      <c r="E388" s="5"/>
      <c r="F388" s="3"/>
      <c r="G388" s="5"/>
      <c r="H388" s="5"/>
      <c r="I388" s="5" t="str">
        <f t="shared" si="4"/>
        <v/>
      </c>
      <c r="J388" s="6" t="str">
        <f t="shared" si="2"/>
        <v/>
      </c>
      <c r="K388" s="6" t="str">
        <f t="shared" si="3"/>
        <v/>
      </c>
    </row>
    <row r="389">
      <c r="A389" s="5"/>
      <c r="B389" s="5"/>
      <c r="C389" s="5"/>
      <c r="D389" s="5"/>
      <c r="E389" s="5"/>
      <c r="F389" s="3"/>
      <c r="G389" s="5"/>
      <c r="H389" s="5"/>
      <c r="I389" s="5" t="str">
        <f t="shared" si="4"/>
        <v/>
      </c>
      <c r="J389" s="6" t="str">
        <f t="shared" si="2"/>
        <v/>
      </c>
      <c r="K389" s="6" t="str">
        <f t="shared" si="3"/>
        <v/>
      </c>
    </row>
    <row r="390">
      <c r="A390" s="5"/>
      <c r="B390" s="5"/>
      <c r="C390" s="5"/>
      <c r="D390" s="5"/>
      <c r="E390" s="5"/>
      <c r="F390" s="3"/>
      <c r="G390" s="5"/>
      <c r="H390" s="5"/>
      <c r="I390" s="5" t="str">
        <f t="shared" si="4"/>
        <v/>
      </c>
      <c r="J390" s="6" t="str">
        <f t="shared" si="2"/>
        <v/>
      </c>
      <c r="K390" s="6" t="str">
        <f t="shared" si="3"/>
        <v/>
      </c>
    </row>
    <row r="391">
      <c r="A391" s="5"/>
      <c r="B391" s="5"/>
      <c r="C391" s="5"/>
      <c r="D391" s="5"/>
      <c r="E391" s="5"/>
      <c r="F391" s="3"/>
      <c r="G391" s="5"/>
      <c r="H391" s="5"/>
      <c r="I391" s="5" t="str">
        <f t="shared" si="4"/>
        <v/>
      </c>
      <c r="J391" s="6" t="str">
        <f t="shared" si="2"/>
        <v/>
      </c>
      <c r="K391" s="6" t="str">
        <f t="shared" si="3"/>
        <v/>
      </c>
    </row>
    <row r="392">
      <c r="A392" s="5"/>
      <c r="B392" s="5"/>
      <c r="C392" s="5"/>
      <c r="D392" s="5"/>
      <c r="E392" s="5"/>
      <c r="F392" s="3"/>
      <c r="G392" s="5"/>
      <c r="H392" s="5"/>
      <c r="I392" s="5" t="str">
        <f t="shared" si="4"/>
        <v/>
      </c>
      <c r="J392" s="6" t="str">
        <f t="shared" si="2"/>
        <v/>
      </c>
      <c r="K392" s="6" t="str">
        <f t="shared" si="3"/>
        <v/>
      </c>
    </row>
    <row r="393">
      <c r="A393" s="5"/>
      <c r="B393" s="5"/>
      <c r="C393" s="5"/>
      <c r="D393" s="5"/>
      <c r="E393" s="5"/>
      <c r="F393" s="3"/>
      <c r="G393" s="5"/>
      <c r="H393" s="5"/>
      <c r="I393" s="5" t="str">
        <f t="shared" si="4"/>
        <v/>
      </c>
      <c r="J393" s="6" t="str">
        <f t="shared" si="2"/>
        <v/>
      </c>
      <c r="K393" s="6" t="str">
        <f t="shared" si="3"/>
        <v/>
      </c>
    </row>
    <row r="394">
      <c r="A394" s="5"/>
      <c r="B394" s="5"/>
      <c r="C394" s="5"/>
      <c r="D394" s="5"/>
      <c r="E394" s="5"/>
      <c r="F394" s="3"/>
      <c r="G394" s="5"/>
      <c r="H394" s="5"/>
      <c r="I394" s="5" t="str">
        <f t="shared" si="4"/>
        <v/>
      </c>
      <c r="J394" s="6" t="str">
        <f t="shared" si="2"/>
        <v/>
      </c>
      <c r="K394" s="6" t="str">
        <f t="shared" si="3"/>
        <v/>
      </c>
    </row>
    <row r="395">
      <c r="A395" s="5"/>
      <c r="B395" s="5"/>
      <c r="C395" s="5"/>
      <c r="D395" s="5"/>
      <c r="E395" s="5"/>
      <c r="F395" s="3"/>
      <c r="G395" s="5"/>
      <c r="H395" s="5"/>
      <c r="I395" s="5" t="str">
        <f t="shared" si="4"/>
        <v/>
      </c>
      <c r="J395" s="6" t="str">
        <f t="shared" si="2"/>
        <v/>
      </c>
      <c r="K395" s="6" t="str">
        <f t="shared" si="3"/>
        <v/>
      </c>
    </row>
    <row r="396">
      <c r="A396" s="5"/>
      <c r="B396" s="5"/>
      <c r="C396" s="5"/>
      <c r="D396" s="5"/>
      <c r="E396" s="5"/>
      <c r="F396" s="3"/>
      <c r="G396" s="5"/>
      <c r="H396" s="5"/>
      <c r="I396" s="5" t="str">
        <f t="shared" si="4"/>
        <v/>
      </c>
      <c r="J396" s="6" t="str">
        <f t="shared" si="2"/>
        <v/>
      </c>
      <c r="K396" s="6" t="str">
        <f t="shared" si="3"/>
        <v/>
      </c>
    </row>
    <row r="397">
      <c r="A397" s="5"/>
      <c r="B397" s="5"/>
      <c r="C397" s="5"/>
      <c r="D397" s="5"/>
      <c r="E397" s="5"/>
      <c r="F397" s="3"/>
      <c r="G397" s="5"/>
      <c r="H397" s="5"/>
      <c r="I397" s="5" t="str">
        <f t="shared" si="4"/>
        <v/>
      </c>
      <c r="J397" s="6" t="str">
        <f t="shared" si="2"/>
        <v/>
      </c>
      <c r="K397" s="6" t="str">
        <f t="shared" si="3"/>
        <v/>
      </c>
    </row>
    <row r="398">
      <c r="A398" s="5"/>
      <c r="B398" s="5"/>
      <c r="C398" s="5"/>
      <c r="D398" s="5"/>
      <c r="E398" s="5"/>
      <c r="F398" s="3"/>
      <c r="G398" s="5"/>
      <c r="H398" s="5"/>
      <c r="I398" s="5" t="str">
        <f t="shared" si="4"/>
        <v/>
      </c>
      <c r="J398" s="6" t="str">
        <f t="shared" si="2"/>
        <v/>
      </c>
      <c r="K398" s="6" t="str">
        <f t="shared" si="3"/>
        <v/>
      </c>
    </row>
    <row r="399">
      <c r="A399" s="5"/>
      <c r="B399" s="5"/>
      <c r="C399" s="5"/>
      <c r="D399" s="5"/>
      <c r="E399" s="5"/>
      <c r="F399" s="3"/>
      <c r="G399" s="5"/>
      <c r="H399" s="5"/>
      <c r="I399" s="5" t="str">
        <f t="shared" si="4"/>
        <v/>
      </c>
      <c r="J399" s="6" t="str">
        <f t="shared" si="2"/>
        <v/>
      </c>
      <c r="K399" s="6" t="str">
        <f t="shared" si="3"/>
        <v/>
      </c>
    </row>
    <row r="400">
      <c r="A400" s="5"/>
      <c r="B400" s="5"/>
      <c r="C400" s="5"/>
      <c r="D400" s="5"/>
      <c r="E400" s="5"/>
      <c r="F400" s="3"/>
      <c r="G400" s="5"/>
      <c r="H400" s="5"/>
      <c r="I400" s="5" t="str">
        <f t="shared" si="4"/>
        <v/>
      </c>
      <c r="J400" s="6" t="str">
        <f t="shared" si="2"/>
        <v/>
      </c>
      <c r="K400" s="6" t="str">
        <f t="shared" si="3"/>
        <v/>
      </c>
    </row>
    <row r="401">
      <c r="A401" s="5"/>
      <c r="B401" s="5"/>
      <c r="C401" s="5"/>
      <c r="D401" s="5"/>
      <c r="E401" s="5"/>
      <c r="F401" s="3"/>
      <c r="G401" s="5"/>
      <c r="H401" s="5"/>
      <c r="I401" s="5" t="str">
        <f t="shared" si="4"/>
        <v/>
      </c>
      <c r="J401" s="6" t="str">
        <f t="shared" si="2"/>
        <v/>
      </c>
      <c r="K401" s="6" t="str">
        <f t="shared" si="3"/>
        <v/>
      </c>
    </row>
    <row r="402">
      <c r="A402" s="5"/>
      <c r="B402" s="5"/>
      <c r="C402" s="5"/>
      <c r="D402" s="5"/>
      <c r="E402" s="5"/>
      <c r="F402" s="3"/>
      <c r="G402" s="5"/>
      <c r="H402" s="5"/>
      <c r="I402" s="5" t="str">
        <f t="shared" si="4"/>
        <v/>
      </c>
      <c r="J402" s="6" t="str">
        <f t="shared" si="2"/>
        <v/>
      </c>
      <c r="K402" s="6" t="str">
        <f t="shared" si="3"/>
        <v/>
      </c>
    </row>
    <row r="403">
      <c r="A403" s="5"/>
      <c r="B403" s="5"/>
      <c r="C403" s="5"/>
      <c r="D403" s="5"/>
      <c r="E403" s="5"/>
      <c r="F403" s="3"/>
      <c r="G403" s="5"/>
      <c r="H403" s="5"/>
      <c r="I403" s="5" t="str">
        <f t="shared" si="4"/>
        <v/>
      </c>
      <c r="J403" s="6" t="str">
        <f t="shared" si="2"/>
        <v/>
      </c>
      <c r="K403" s="6" t="str">
        <f t="shared" si="3"/>
        <v/>
      </c>
    </row>
    <row r="404">
      <c r="A404" s="5"/>
      <c r="B404" s="5"/>
      <c r="C404" s="5"/>
      <c r="D404" s="5"/>
      <c r="E404" s="5"/>
      <c r="F404" s="3"/>
      <c r="G404" s="5"/>
      <c r="H404" s="5"/>
      <c r="I404" s="5" t="str">
        <f t="shared" si="4"/>
        <v/>
      </c>
      <c r="J404" s="6" t="str">
        <f t="shared" si="2"/>
        <v/>
      </c>
      <c r="K404" s="6" t="str">
        <f t="shared" si="3"/>
        <v/>
      </c>
    </row>
    <row r="405">
      <c r="A405" s="5"/>
      <c r="B405" s="5"/>
      <c r="C405" s="5"/>
      <c r="D405" s="5"/>
      <c r="E405" s="5"/>
      <c r="F405" s="3"/>
      <c r="G405" s="5"/>
      <c r="H405" s="5"/>
      <c r="I405" s="5" t="str">
        <f t="shared" si="4"/>
        <v/>
      </c>
      <c r="J405" s="6" t="str">
        <f t="shared" si="2"/>
        <v/>
      </c>
      <c r="K405" s="6" t="str">
        <f t="shared" si="3"/>
        <v/>
      </c>
    </row>
    <row r="406">
      <c r="A406" s="5"/>
      <c r="B406" s="5"/>
      <c r="C406" s="5"/>
      <c r="D406" s="5"/>
      <c r="E406" s="5"/>
      <c r="F406" s="3"/>
      <c r="G406" s="5"/>
      <c r="H406" s="5"/>
      <c r="I406" s="5" t="str">
        <f t="shared" si="4"/>
        <v/>
      </c>
      <c r="J406" s="6" t="str">
        <f t="shared" si="2"/>
        <v/>
      </c>
      <c r="K406" s="6" t="str">
        <f t="shared" si="3"/>
        <v/>
      </c>
    </row>
    <row r="407">
      <c r="A407" s="5"/>
      <c r="B407" s="5"/>
      <c r="C407" s="5"/>
      <c r="D407" s="5"/>
      <c r="E407" s="5"/>
      <c r="F407" s="3"/>
      <c r="G407" s="5"/>
      <c r="H407" s="5"/>
      <c r="I407" s="5" t="str">
        <f t="shared" si="4"/>
        <v/>
      </c>
      <c r="J407" s="6" t="str">
        <f t="shared" si="2"/>
        <v/>
      </c>
      <c r="K407" s="6" t="str">
        <f t="shared" si="3"/>
        <v/>
      </c>
    </row>
    <row r="408">
      <c r="A408" s="5"/>
      <c r="B408" s="5"/>
      <c r="C408" s="5"/>
      <c r="D408" s="5"/>
      <c r="E408" s="5"/>
      <c r="F408" s="3"/>
      <c r="G408" s="5"/>
      <c r="H408" s="5"/>
      <c r="I408" s="5" t="str">
        <f t="shared" si="4"/>
        <v/>
      </c>
      <c r="J408" s="6" t="str">
        <f t="shared" si="2"/>
        <v/>
      </c>
      <c r="K408" s="6" t="str">
        <f t="shared" si="3"/>
        <v/>
      </c>
    </row>
    <row r="409">
      <c r="A409" s="5"/>
      <c r="B409" s="5"/>
      <c r="C409" s="5"/>
      <c r="D409" s="5"/>
      <c r="E409" s="5"/>
      <c r="F409" s="3"/>
      <c r="G409" s="5"/>
      <c r="H409" s="5"/>
      <c r="I409" s="5" t="str">
        <f t="shared" si="4"/>
        <v/>
      </c>
      <c r="J409" s="6" t="str">
        <f t="shared" si="2"/>
        <v/>
      </c>
      <c r="K409" s="6" t="str">
        <f t="shared" si="3"/>
        <v/>
      </c>
    </row>
    <row r="410">
      <c r="A410" s="5"/>
      <c r="B410" s="5"/>
      <c r="C410" s="5"/>
      <c r="D410" s="5"/>
      <c r="E410" s="5"/>
      <c r="F410" s="3"/>
      <c r="G410" s="5"/>
      <c r="H410" s="5"/>
      <c r="I410" s="5" t="str">
        <f t="shared" si="4"/>
        <v/>
      </c>
      <c r="J410" s="6" t="str">
        <f t="shared" si="2"/>
        <v/>
      </c>
      <c r="K410" s="6" t="str">
        <f t="shared" si="3"/>
        <v/>
      </c>
    </row>
    <row r="411">
      <c r="A411" s="5"/>
      <c r="B411" s="5"/>
      <c r="C411" s="5"/>
      <c r="D411" s="5"/>
      <c r="E411" s="5"/>
      <c r="F411" s="3"/>
      <c r="G411" s="5"/>
      <c r="H411" s="5"/>
      <c r="I411" s="5" t="str">
        <f t="shared" si="4"/>
        <v/>
      </c>
      <c r="J411" s="6" t="str">
        <f t="shared" si="2"/>
        <v/>
      </c>
      <c r="K411" s="6" t="str">
        <f t="shared" si="3"/>
        <v/>
      </c>
    </row>
    <row r="412">
      <c r="A412" s="5"/>
      <c r="B412" s="5"/>
      <c r="C412" s="5"/>
      <c r="D412" s="5"/>
      <c r="E412" s="5"/>
      <c r="F412" s="3"/>
      <c r="G412" s="5"/>
      <c r="H412" s="5"/>
      <c r="I412" s="5" t="str">
        <f t="shared" si="4"/>
        <v/>
      </c>
      <c r="J412" s="6" t="str">
        <f t="shared" si="2"/>
        <v/>
      </c>
      <c r="K412" s="6" t="str">
        <f t="shared" si="3"/>
        <v/>
      </c>
    </row>
    <row r="413">
      <c r="A413" s="5"/>
      <c r="B413" s="5"/>
      <c r="C413" s="5"/>
      <c r="D413" s="5"/>
      <c r="E413" s="5"/>
      <c r="F413" s="3"/>
      <c r="G413" s="5"/>
      <c r="H413" s="5"/>
      <c r="I413" s="5" t="str">
        <f t="shared" si="4"/>
        <v/>
      </c>
      <c r="J413" s="6" t="str">
        <f t="shared" si="2"/>
        <v/>
      </c>
      <c r="K413" s="6" t="str">
        <f t="shared" si="3"/>
        <v/>
      </c>
    </row>
    <row r="414">
      <c r="A414" s="5"/>
      <c r="B414" s="5"/>
      <c r="C414" s="5"/>
      <c r="D414" s="5"/>
      <c r="E414" s="5"/>
      <c r="F414" s="3"/>
      <c r="G414" s="5"/>
      <c r="H414" s="5"/>
      <c r="I414" s="5" t="str">
        <f t="shared" si="4"/>
        <v/>
      </c>
      <c r="J414" s="6" t="str">
        <f t="shared" si="2"/>
        <v/>
      </c>
      <c r="K414" s="6" t="str">
        <f t="shared" si="3"/>
        <v/>
      </c>
    </row>
    <row r="415">
      <c r="A415" s="5"/>
      <c r="B415" s="5"/>
      <c r="C415" s="5"/>
      <c r="D415" s="5"/>
      <c r="E415" s="5"/>
      <c r="F415" s="3"/>
      <c r="G415" s="5"/>
      <c r="H415" s="5"/>
      <c r="I415" s="5" t="str">
        <f t="shared" si="4"/>
        <v/>
      </c>
      <c r="J415" s="6" t="str">
        <f t="shared" si="2"/>
        <v/>
      </c>
      <c r="K415" s="6" t="str">
        <f t="shared" si="3"/>
        <v/>
      </c>
    </row>
    <row r="416">
      <c r="A416" s="5"/>
      <c r="B416" s="5"/>
      <c r="C416" s="5"/>
      <c r="D416" s="5"/>
      <c r="E416" s="5"/>
      <c r="F416" s="3"/>
      <c r="G416" s="5"/>
      <c r="H416" s="5"/>
      <c r="I416" s="5" t="str">
        <f t="shared" si="4"/>
        <v/>
      </c>
      <c r="J416" s="6" t="str">
        <f t="shared" si="2"/>
        <v/>
      </c>
      <c r="K416" s="6" t="str">
        <f t="shared" si="3"/>
        <v/>
      </c>
    </row>
    <row r="417">
      <c r="A417" s="5"/>
      <c r="B417" s="5"/>
      <c r="C417" s="5"/>
      <c r="D417" s="5"/>
      <c r="E417" s="5"/>
      <c r="F417" s="3"/>
      <c r="G417" s="5"/>
      <c r="H417" s="5"/>
      <c r="I417" s="5" t="str">
        <f t="shared" si="4"/>
        <v/>
      </c>
      <c r="J417" s="6" t="str">
        <f t="shared" si="2"/>
        <v/>
      </c>
      <c r="K417" s="6" t="str">
        <f t="shared" si="3"/>
        <v/>
      </c>
    </row>
    <row r="418">
      <c r="A418" s="5"/>
      <c r="B418" s="5"/>
      <c r="C418" s="5"/>
      <c r="D418" s="5"/>
      <c r="E418" s="5"/>
      <c r="F418" s="3"/>
      <c r="G418" s="5"/>
      <c r="H418" s="5"/>
      <c r="I418" s="5" t="str">
        <f t="shared" si="4"/>
        <v/>
      </c>
      <c r="J418" s="6" t="str">
        <f t="shared" si="2"/>
        <v/>
      </c>
      <c r="K418" s="6" t="str">
        <f t="shared" si="3"/>
        <v/>
      </c>
    </row>
    <row r="419">
      <c r="A419" s="5"/>
      <c r="B419" s="5"/>
      <c r="C419" s="5"/>
      <c r="D419" s="5"/>
      <c r="E419" s="5"/>
      <c r="F419" s="3"/>
      <c r="G419" s="5"/>
      <c r="H419" s="5"/>
      <c r="I419" s="5" t="str">
        <f t="shared" si="4"/>
        <v/>
      </c>
      <c r="J419" s="6" t="str">
        <f t="shared" si="2"/>
        <v/>
      </c>
      <c r="K419" s="6" t="str">
        <f t="shared" si="3"/>
        <v/>
      </c>
    </row>
    <row r="420">
      <c r="A420" s="5"/>
      <c r="B420" s="5"/>
      <c r="C420" s="5"/>
      <c r="D420" s="5"/>
      <c r="E420" s="5"/>
      <c r="F420" s="3"/>
      <c r="G420" s="5"/>
      <c r="H420" s="5"/>
      <c r="I420" s="5" t="str">
        <f t="shared" si="4"/>
        <v/>
      </c>
      <c r="J420" s="6" t="str">
        <f t="shared" si="2"/>
        <v/>
      </c>
      <c r="K420" s="6" t="str">
        <f t="shared" si="3"/>
        <v/>
      </c>
    </row>
    <row r="421">
      <c r="A421" s="5"/>
      <c r="B421" s="5"/>
      <c r="C421" s="5"/>
      <c r="D421" s="5"/>
      <c r="E421" s="5"/>
      <c r="F421" s="3"/>
      <c r="G421" s="5"/>
      <c r="H421" s="5"/>
      <c r="I421" s="5" t="str">
        <f t="shared" si="4"/>
        <v/>
      </c>
      <c r="J421" s="6" t="str">
        <f t="shared" si="2"/>
        <v/>
      </c>
      <c r="K421" s="6" t="str">
        <f t="shared" si="3"/>
        <v/>
      </c>
    </row>
    <row r="422">
      <c r="A422" s="5"/>
      <c r="B422" s="5"/>
      <c r="C422" s="5"/>
      <c r="D422" s="5"/>
      <c r="E422" s="5"/>
      <c r="F422" s="3"/>
      <c r="G422" s="5"/>
      <c r="H422" s="5"/>
      <c r="I422" s="5" t="str">
        <f t="shared" si="4"/>
        <v/>
      </c>
      <c r="J422" s="6" t="str">
        <f t="shared" si="2"/>
        <v/>
      </c>
      <c r="K422" s="6" t="str">
        <f t="shared" si="3"/>
        <v/>
      </c>
    </row>
    <row r="423">
      <c r="A423" s="5"/>
      <c r="B423" s="5"/>
      <c r="C423" s="5"/>
      <c r="D423" s="5"/>
      <c r="E423" s="5"/>
      <c r="F423" s="3"/>
      <c r="G423" s="5"/>
      <c r="H423" s="5"/>
      <c r="I423" s="5" t="str">
        <f t="shared" si="4"/>
        <v/>
      </c>
      <c r="J423" s="6" t="str">
        <f t="shared" si="2"/>
        <v/>
      </c>
      <c r="K423" s="6" t="str">
        <f t="shared" si="3"/>
        <v/>
      </c>
    </row>
    <row r="424">
      <c r="A424" s="5"/>
      <c r="B424" s="5"/>
      <c r="C424" s="5"/>
      <c r="D424" s="5"/>
      <c r="E424" s="5"/>
      <c r="F424" s="3"/>
      <c r="G424" s="5"/>
      <c r="H424" s="5"/>
      <c r="I424" s="5" t="str">
        <f t="shared" si="4"/>
        <v/>
      </c>
      <c r="J424" s="6" t="str">
        <f t="shared" si="2"/>
        <v/>
      </c>
      <c r="K424" s="6" t="str">
        <f t="shared" si="3"/>
        <v/>
      </c>
    </row>
    <row r="425">
      <c r="A425" s="5"/>
      <c r="B425" s="5"/>
      <c r="C425" s="5"/>
      <c r="D425" s="5"/>
      <c r="E425" s="5"/>
      <c r="F425" s="3"/>
      <c r="G425" s="5"/>
      <c r="H425" s="5"/>
      <c r="I425" s="5" t="str">
        <f t="shared" si="4"/>
        <v/>
      </c>
      <c r="J425" s="6" t="str">
        <f t="shared" si="2"/>
        <v/>
      </c>
      <c r="K425" s="6" t="str">
        <f t="shared" si="3"/>
        <v/>
      </c>
    </row>
    <row r="426">
      <c r="A426" s="5"/>
      <c r="B426" s="5"/>
      <c r="C426" s="5"/>
      <c r="D426" s="5"/>
      <c r="E426" s="5"/>
      <c r="F426" s="3"/>
      <c r="G426" s="5"/>
      <c r="H426" s="5"/>
      <c r="I426" s="5" t="str">
        <f t="shared" si="4"/>
        <v/>
      </c>
      <c r="J426" s="6" t="str">
        <f t="shared" si="2"/>
        <v/>
      </c>
      <c r="K426" s="6" t="str">
        <f t="shared" si="3"/>
        <v/>
      </c>
    </row>
    <row r="427">
      <c r="A427" s="5"/>
      <c r="B427" s="5"/>
      <c r="C427" s="5"/>
      <c r="D427" s="5"/>
      <c r="E427" s="5"/>
      <c r="F427" s="3"/>
      <c r="G427" s="5"/>
      <c r="H427" s="5"/>
      <c r="I427" s="5" t="str">
        <f t="shared" si="4"/>
        <v/>
      </c>
      <c r="J427" s="6" t="str">
        <f t="shared" si="2"/>
        <v/>
      </c>
      <c r="K427" s="6" t="str">
        <f t="shared" si="3"/>
        <v/>
      </c>
    </row>
    <row r="428">
      <c r="A428" s="5"/>
      <c r="B428" s="5"/>
      <c r="C428" s="5"/>
      <c r="D428" s="5"/>
      <c r="E428" s="5"/>
      <c r="F428" s="3"/>
      <c r="G428" s="5"/>
      <c r="H428" s="5"/>
      <c r="I428" s="5" t="str">
        <f t="shared" si="4"/>
        <v/>
      </c>
      <c r="J428" s="6" t="str">
        <f t="shared" si="2"/>
        <v/>
      </c>
      <c r="K428" s="6" t="str">
        <f t="shared" si="3"/>
        <v/>
      </c>
    </row>
    <row r="429">
      <c r="A429" s="5"/>
      <c r="B429" s="5"/>
      <c r="C429" s="5"/>
      <c r="D429" s="5"/>
      <c r="E429" s="5"/>
      <c r="F429" s="3"/>
      <c r="G429" s="5"/>
      <c r="H429" s="5"/>
      <c r="I429" s="5" t="str">
        <f t="shared" si="4"/>
        <v/>
      </c>
      <c r="J429" s="6" t="str">
        <f t="shared" si="2"/>
        <v/>
      </c>
      <c r="K429" s="6" t="str">
        <f t="shared" si="3"/>
        <v/>
      </c>
    </row>
    <row r="430">
      <c r="A430" s="5"/>
      <c r="B430" s="5"/>
      <c r="C430" s="5"/>
      <c r="D430" s="5"/>
      <c r="E430" s="5"/>
      <c r="F430" s="3"/>
      <c r="G430" s="5"/>
      <c r="H430" s="5"/>
      <c r="I430" s="5" t="str">
        <f t="shared" si="4"/>
        <v/>
      </c>
      <c r="J430" s="6" t="str">
        <f t="shared" si="2"/>
        <v/>
      </c>
      <c r="K430" s="6" t="str">
        <f t="shared" si="3"/>
        <v/>
      </c>
    </row>
    <row r="431">
      <c r="A431" s="5"/>
      <c r="B431" s="5"/>
      <c r="C431" s="5"/>
      <c r="D431" s="5"/>
      <c r="E431" s="5"/>
      <c r="F431" s="3"/>
      <c r="G431" s="5"/>
      <c r="H431" s="5"/>
      <c r="I431" s="5" t="str">
        <f t="shared" si="4"/>
        <v/>
      </c>
      <c r="J431" s="6" t="str">
        <f t="shared" si="2"/>
        <v/>
      </c>
      <c r="K431" s="6" t="str">
        <f t="shared" si="3"/>
        <v/>
      </c>
    </row>
    <row r="432">
      <c r="A432" s="5"/>
      <c r="B432" s="5"/>
      <c r="C432" s="5"/>
      <c r="D432" s="5"/>
      <c r="E432" s="5"/>
      <c r="F432" s="3"/>
      <c r="G432" s="5"/>
      <c r="H432" s="5"/>
      <c r="I432" s="5" t="str">
        <f t="shared" si="4"/>
        <v/>
      </c>
      <c r="J432" s="6" t="str">
        <f t="shared" si="2"/>
        <v/>
      </c>
      <c r="K432" s="6" t="str">
        <f t="shared" si="3"/>
        <v/>
      </c>
    </row>
    <row r="433">
      <c r="A433" s="5"/>
      <c r="B433" s="5"/>
      <c r="C433" s="5"/>
      <c r="D433" s="5"/>
      <c r="E433" s="5"/>
      <c r="F433" s="3"/>
      <c r="G433" s="5"/>
      <c r="H433" s="5"/>
      <c r="I433" s="5" t="str">
        <f t="shared" si="4"/>
        <v/>
      </c>
      <c r="J433" s="6" t="str">
        <f t="shared" si="2"/>
        <v/>
      </c>
      <c r="K433" s="6" t="str">
        <f t="shared" si="3"/>
        <v/>
      </c>
    </row>
    <row r="434">
      <c r="A434" s="5"/>
      <c r="B434" s="5"/>
      <c r="C434" s="5"/>
      <c r="D434" s="5"/>
      <c r="E434" s="5"/>
      <c r="F434" s="3"/>
      <c r="G434" s="5"/>
      <c r="H434" s="5"/>
      <c r="I434" s="5" t="str">
        <f t="shared" si="4"/>
        <v/>
      </c>
      <c r="J434" s="6" t="str">
        <f t="shared" si="2"/>
        <v/>
      </c>
      <c r="K434" s="6" t="str">
        <f t="shared" si="3"/>
        <v/>
      </c>
    </row>
    <row r="435">
      <c r="A435" s="5"/>
      <c r="B435" s="5"/>
      <c r="C435" s="5"/>
      <c r="D435" s="5"/>
      <c r="E435" s="5"/>
      <c r="F435" s="3"/>
      <c r="G435" s="5"/>
      <c r="H435" s="5"/>
      <c r="I435" s="5" t="str">
        <f t="shared" si="4"/>
        <v/>
      </c>
      <c r="J435" s="6" t="str">
        <f t="shared" si="2"/>
        <v/>
      </c>
      <c r="K435" s="6" t="str">
        <f t="shared" si="3"/>
        <v/>
      </c>
    </row>
    <row r="436">
      <c r="A436" s="5"/>
      <c r="B436" s="5"/>
      <c r="C436" s="5"/>
      <c r="D436" s="5"/>
      <c r="E436" s="5"/>
      <c r="F436" s="3"/>
      <c r="G436" s="5"/>
      <c r="H436" s="5"/>
      <c r="I436" s="5" t="str">
        <f t="shared" si="4"/>
        <v/>
      </c>
      <c r="J436" s="6" t="str">
        <f t="shared" si="2"/>
        <v/>
      </c>
      <c r="K436" s="6" t="str">
        <f t="shared" si="3"/>
        <v/>
      </c>
    </row>
    <row r="437">
      <c r="A437" s="5"/>
      <c r="B437" s="5"/>
      <c r="C437" s="5"/>
      <c r="D437" s="5"/>
      <c r="E437" s="5"/>
      <c r="F437" s="3"/>
      <c r="G437" s="5"/>
      <c r="H437" s="5"/>
      <c r="I437" s="5" t="str">
        <f t="shared" si="4"/>
        <v/>
      </c>
      <c r="J437" s="6" t="str">
        <f t="shared" si="2"/>
        <v/>
      </c>
      <c r="K437" s="6" t="str">
        <f t="shared" si="3"/>
        <v/>
      </c>
    </row>
    <row r="438">
      <c r="A438" s="5"/>
      <c r="B438" s="5"/>
      <c r="C438" s="5"/>
      <c r="D438" s="5"/>
      <c r="E438" s="5"/>
      <c r="F438" s="3"/>
      <c r="G438" s="5"/>
      <c r="H438" s="5"/>
      <c r="I438" s="5" t="str">
        <f t="shared" si="4"/>
        <v/>
      </c>
      <c r="J438" s="6" t="str">
        <f t="shared" si="2"/>
        <v/>
      </c>
      <c r="K438" s="6" t="str">
        <f t="shared" si="3"/>
        <v/>
      </c>
    </row>
    <row r="439">
      <c r="A439" s="5"/>
      <c r="B439" s="5"/>
      <c r="C439" s="5"/>
      <c r="D439" s="5"/>
      <c r="E439" s="5"/>
      <c r="F439" s="3"/>
      <c r="G439" s="5"/>
      <c r="H439" s="5"/>
      <c r="I439" s="5" t="str">
        <f t="shared" si="4"/>
        <v/>
      </c>
      <c r="J439" s="6" t="str">
        <f t="shared" si="2"/>
        <v/>
      </c>
      <c r="K439" s="6" t="str">
        <f t="shared" si="3"/>
        <v/>
      </c>
    </row>
    <row r="440">
      <c r="A440" s="5"/>
      <c r="B440" s="5"/>
      <c r="C440" s="5"/>
      <c r="D440" s="5"/>
      <c r="E440" s="5"/>
      <c r="F440" s="3"/>
      <c r="G440" s="5"/>
      <c r="H440" s="5"/>
      <c r="I440" s="5" t="str">
        <f t="shared" si="4"/>
        <v/>
      </c>
      <c r="J440" s="6" t="str">
        <f t="shared" si="2"/>
        <v/>
      </c>
      <c r="K440" s="6" t="str">
        <f t="shared" si="3"/>
        <v/>
      </c>
    </row>
    <row r="441">
      <c r="A441" s="5"/>
      <c r="B441" s="5"/>
      <c r="C441" s="5"/>
      <c r="D441" s="5"/>
      <c r="E441" s="5"/>
      <c r="F441" s="3"/>
      <c r="G441" s="5"/>
      <c r="H441" s="5"/>
      <c r="I441" s="5" t="str">
        <f t="shared" si="4"/>
        <v/>
      </c>
      <c r="J441" s="6" t="str">
        <f t="shared" si="2"/>
        <v/>
      </c>
      <c r="K441" s="6" t="str">
        <f t="shared" si="3"/>
        <v/>
      </c>
    </row>
    <row r="442">
      <c r="A442" s="5"/>
      <c r="B442" s="5"/>
      <c r="C442" s="5"/>
      <c r="D442" s="5"/>
      <c r="E442" s="5"/>
      <c r="F442" s="3"/>
      <c r="G442" s="5"/>
      <c r="H442" s="5"/>
      <c r="I442" s="5" t="str">
        <f t="shared" si="4"/>
        <v/>
      </c>
      <c r="J442" s="6" t="str">
        <f t="shared" si="2"/>
        <v/>
      </c>
      <c r="K442" s="6" t="str">
        <f t="shared" si="3"/>
        <v/>
      </c>
    </row>
    <row r="443">
      <c r="A443" s="5"/>
      <c r="B443" s="5"/>
      <c r="C443" s="5"/>
      <c r="D443" s="5"/>
      <c r="E443" s="5"/>
      <c r="F443" s="3"/>
      <c r="G443" s="5"/>
      <c r="H443" s="5"/>
      <c r="I443" s="5" t="str">
        <f t="shared" si="4"/>
        <v/>
      </c>
      <c r="J443" s="6" t="str">
        <f t="shared" si="2"/>
        <v/>
      </c>
      <c r="K443" s="6" t="str">
        <f t="shared" si="3"/>
        <v/>
      </c>
    </row>
    <row r="444">
      <c r="A444" s="5"/>
      <c r="B444" s="5"/>
      <c r="C444" s="5"/>
      <c r="D444" s="5"/>
      <c r="E444" s="5"/>
      <c r="F444" s="3"/>
      <c r="G444" s="5"/>
      <c r="H444" s="5"/>
      <c r="I444" s="5" t="str">
        <f t="shared" si="4"/>
        <v/>
      </c>
      <c r="J444" s="6" t="str">
        <f t="shared" si="2"/>
        <v/>
      </c>
      <c r="K444" s="6" t="str">
        <f t="shared" si="3"/>
        <v/>
      </c>
    </row>
    <row r="445">
      <c r="A445" s="5"/>
      <c r="B445" s="5"/>
      <c r="C445" s="5"/>
      <c r="D445" s="5"/>
      <c r="E445" s="5"/>
      <c r="F445" s="3"/>
      <c r="G445" s="5"/>
      <c r="H445" s="5"/>
      <c r="I445" s="5" t="str">
        <f t="shared" si="4"/>
        <v/>
      </c>
      <c r="J445" s="6" t="str">
        <f t="shared" si="2"/>
        <v/>
      </c>
      <c r="K445" s="6" t="str">
        <f t="shared" si="3"/>
        <v/>
      </c>
    </row>
    <row r="446">
      <c r="A446" s="5"/>
      <c r="B446" s="5"/>
      <c r="C446" s="5"/>
      <c r="D446" s="5"/>
      <c r="E446" s="5"/>
      <c r="F446" s="3"/>
      <c r="G446" s="5"/>
      <c r="H446" s="5"/>
      <c r="I446" s="5" t="str">
        <f t="shared" si="4"/>
        <v/>
      </c>
      <c r="J446" s="6" t="str">
        <f t="shared" si="2"/>
        <v/>
      </c>
      <c r="K446" s="6" t="str">
        <f t="shared" si="3"/>
        <v/>
      </c>
    </row>
    <row r="447">
      <c r="A447" s="5"/>
      <c r="B447" s="5"/>
      <c r="C447" s="5"/>
      <c r="D447" s="5"/>
      <c r="E447" s="5"/>
      <c r="F447" s="3"/>
      <c r="G447" s="5"/>
      <c r="H447" s="5"/>
      <c r="I447" s="5" t="str">
        <f t="shared" si="4"/>
        <v/>
      </c>
      <c r="J447" s="6" t="str">
        <f t="shared" si="2"/>
        <v/>
      </c>
      <c r="K447" s="6" t="str">
        <f t="shared" si="3"/>
        <v/>
      </c>
    </row>
    <row r="448">
      <c r="A448" s="5"/>
      <c r="B448" s="5"/>
      <c r="C448" s="5"/>
      <c r="D448" s="5"/>
      <c r="E448" s="5"/>
      <c r="F448" s="3"/>
      <c r="G448" s="5"/>
      <c r="H448" s="5"/>
      <c r="I448" s="5" t="str">
        <f t="shared" si="4"/>
        <v/>
      </c>
      <c r="J448" s="6" t="str">
        <f t="shared" si="2"/>
        <v/>
      </c>
      <c r="K448" s="6" t="str">
        <f t="shared" si="3"/>
        <v/>
      </c>
    </row>
    <row r="449">
      <c r="A449" s="5"/>
      <c r="B449" s="5"/>
      <c r="C449" s="5"/>
      <c r="D449" s="5"/>
      <c r="E449" s="5"/>
      <c r="F449" s="3"/>
      <c r="G449" s="5"/>
      <c r="H449" s="5"/>
      <c r="I449" s="5" t="str">
        <f t="shared" si="4"/>
        <v/>
      </c>
      <c r="J449" s="6" t="str">
        <f t="shared" si="2"/>
        <v/>
      </c>
      <c r="K449" s="6" t="str">
        <f t="shared" si="3"/>
        <v/>
      </c>
    </row>
    <row r="450">
      <c r="A450" s="5"/>
      <c r="B450" s="5"/>
      <c r="C450" s="5"/>
      <c r="D450" s="5"/>
      <c r="E450" s="5"/>
      <c r="F450" s="3"/>
      <c r="G450" s="5"/>
      <c r="H450" s="5"/>
      <c r="I450" s="5" t="str">
        <f t="shared" si="4"/>
        <v/>
      </c>
      <c r="J450" s="6" t="str">
        <f t="shared" si="2"/>
        <v/>
      </c>
      <c r="K450" s="6" t="str">
        <f t="shared" si="3"/>
        <v/>
      </c>
    </row>
    <row r="451">
      <c r="A451" s="5"/>
      <c r="B451" s="5"/>
      <c r="C451" s="5"/>
      <c r="D451" s="5"/>
      <c r="E451" s="5"/>
      <c r="F451" s="3"/>
      <c r="G451" s="5"/>
      <c r="H451" s="5"/>
      <c r="I451" s="5" t="str">
        <f t="shared" si="4"/>
        <v/>
      </c>
      <c r="J451" s="6" t="str">
        <f t="shared" si="2"/>
        <v/>
      </c>
      <c r="K451" s="6" t="str">
        <f t="shared" si="3"/>
        <v/>
      </c>
    </row>
    <row r="452">
      <c r="A452" s="5"/>
      <c r="B452" s="5"/>
      <c r="C452" s="5"/>
      <c r="D452" s="5"/>
      <c r="E452" s="5"/>
      <c r="F452" s="3"/>
      <c r="G452" s="5"/>
      <c r="H452" s="5"/>
      <c r="I452" s="5" t="str">
        <f t="shared" si="4"/>
        <v/>
      </c>
      <c r="J452" s="6" t="str">
        <f t="shared" si="2"/>
        <v/>
      </c>
      <c r="K452" s="6" t="str">
        <f t="shared" si="3"/>
        <v/>
      </c>
    </row>
    <row r="453">
      <c r="A453" s="5"/>
      <c r="B453" s="5"/>
      <c r="C453" s="5"/>
      <c r="D453" s="5"/>
      <c r="E453" s="5"/>
      <c r="F453" s="3"/>
      <c r="G453" s="5"/>
      <c r="H453" s="5"/>
      <c r="I453" s="5" t="str">
        <f t="shared" si="4"/>
        <v/>
      </c>
      <c r="J453" s="6" t="str">
        <f t="shared" si="2"/>
        <v/>
      </c>
      <c r="K453" s="6" t="str">
        <f t="shared" si="3"/>
        <v/>
      </c>
    </row>
    <row r="454">
      <c r="A454" s="5"/>
      <c r="B454" s="5"/>
      <c r="C454" s="5"/>
      <c r="D454" s="5"/>
      <c r="E454" s="5"/>
      <c r="F454" s="3"/>
      <c r="G454" s="5"/>
      <c r="H454" s="5"/>
      <c r="I454" s="5" t="str">
        <f t="shared" si="4"/>
        <v/>
      </c>
      <c r="J454" s="6" t="str">
        <f t="shared" si="2"/>
        <v/>
      </c>
      <c r="K454" s="6" t="str">
        <f t="shared" si="3"/>
        <v/>
      </c>
    </row>
    <row r="455">
      <c r="A455" s="5"/>
      <c r="B455" s="5"/>
      <c r="C455" s="5"/>
      <c r="D455" s="5"/>
      <c r="E455" s="5"/>
      <c r="F455" s="3"/>
      <c r="G455" s="5"/>
      <c r="H455" s="5"/>
      <c r="I455" s="5" t="str">
        <f t="shared" si="4"/>
        <v/>
      </c>
      <c r="J455" s="6" t="str">
        <f t="shared" si="2"/>
        <v/>
      </c>
      <c r="K455" s="6" t="str">
        <f t="shared" si="3"/>
        <v/>
      </c>
    </row>
    <row r="456">
      <c r="A456" s="5"/>
      <c r="B456" s="5"/>
      <c r="C456" s="5"/>
      <c r="D456" s="5"/>
      <c r="E456" s="5"/>
      <c r="F456" s="3"/>
      <c r="G456" s="5"/>
      <c r="H456" s="5"/>
      <c r="I456" s="5" t="str">
        <f t="shared" si="4"/>
        <v/>
      </c>
      <c r="J456" s="6" t="str">
        <f t="shared" si="2"/>
        <v/>
      </c>
      <c r="K456" s="6" t="str">
        <f t="shared" si="3"/>
        <v/>
      </c>
    </row>
    <row r="457">
      <c r="A457" s="5"/>
      <c r="B457" s="5"/>
      <c r="C457" s="5"/>
      <c r="D457" s="5"/>
      <c r="E457" s="5"/>
      <c r="F457" s="3"/>
      <c r="G457" s="5"/>
      <c r="H457" s="5"/>
      <c r="I457" s="5" t="str">
        <f t="shared" si="4"/>
        <v/>
      </c>
      <c r="J457" s="6" t="str">
        <f t="shared" si="2"/>
        <v/>
      </c>
      <c r="K457" s="6" t="str">
        <f t="shared" si="3"/>
        <v/>
      </c>
    </row>
    <row r="458">
      <c r="A458" s="5"/>
      <c r="B458" s="5"/>
      <c r="C458" s="5"/>
      <c r="D458" s="5"/>
      <c r="E458" s="5"/>
      <c r="F458" s="3"/>
      <c r="G458" s="5"/>
      <c r="H458" s="5"/>
      <c r="I458" s="5" t="str">
        <f t="shared" si="4"/>
        <v/>
      </c>
      <c r="J458" s="6" t="str">
        <f t="shared" si="2"/>
        <v/>
      </c>
      <c r="K458" s="6" t="str">
        <f t="shared" si="3"/>
        <v/>
      </c>
    </row>
    <row r="459">
      <c r="A459" s="5"/>
      <c r="B459" s="5"/>
      <c r="C459" s="5"/>
      <c r="D459" s="5"/>
      <c r="E459" s="5"/>
      <c r="F459" s="3"/>
      <c r="G459" s="5"/>
      <c r="H459" s="5"/>
      <c r="I459" s="5" t="str">
        <f t="shared" si="4"/>
        <v/>
      </c>
      <c r="J459" s="6" t="str">
        <f t="shared" si="2"/>
        <v/>
      </c>
      <c r="K459" s="6" t="str">
        <f t="shared" si="3"/>
        <v/>
      </c>
    </row>
    <row r="460">
      <c r="A460" s="5"/>
      <c r="B460" s="5"/>
      <c r="C460" s="5"/>
      <c r="D460" s="5"/>
      <c r="E460" s="5"/>
      <c r="F460" s="3"/>
      <c r="G460" s="5"/>
      <c r="H460" s="5"/>
      <c r="I460" s="5" t="str">
        <f t="shared" si="4"/>
        <v/>
      </c>
      <c r="J460" s="6" t="str">
        <f t="shared" si="2"/>
        <v/>
      </c>
      <c r="K460" s="6" t="str">
        <f t="shared" si="3"/>
        <v/>
      </c>
    </row>
    <row r="461">
      <c r="A461" s="5"/>
      <c r="B461" s="5"/>
      <c r="C461" s="5"/>
      <c r="D461" s="5"/>
      <c r="E461" s="5"/>
      <c r="F461" s="3"/>
      <c r="G461" s="5"/>
      <c r="H461" s="5"/>
      <c r="I461" s="5" t="str">
        <f t="shared" si="4"/>
        <v/>
      </c>
      <c r="J461" s="6" t="str">
        <f t="shared" si="2"/>
        <v/>
      </c>
      <c r="K461" s="6" t="str">
        <f t="shared" si="3"/>
        <v/>
      </c>
    </row>
    <row r="462">
      <c r="A462" s="5"/>
      <c r="B462" s="5"/>
      <c r="C462" s="5"/>
      <c r="D462" s="5"/>
      <c r="E462" s="5"/>
      <c r="F462" s="3"/>
      <c r="G462" s="5"/>
      <c r="H462" s="5"/>
      <c r="I462" s="5" t="str">
        <f t="shared" si="4"/>
        <v/>
      </c>
      <c r="J462" s="6" t="str">
        <f t="shared" si="2"/>
        <v/>
      </c>
      <c r="K462" s="6" t="str">
        <f t="shared" si="3"/>
        <v/>
      </c>
    </row>
    <row r="463">
      <c r="A463" s="5"/>
      <c r="B463" s="5"/>
      <c r="C463" s="5"/>
      <c r="D463" s="5"/>
      <c r="E463" s="5"/>
      <c r="F463" s="3"/>
      <c r="G463" s="5"/>
      <c r="H463" s="5"/>
      <c r="I463" s="5" t="str">
        <f t="shared" si="4"/>
        <v/>
      </c>
      <c r="J463" s="6" t="str">
        <f t="shared" si="2"/>
        <v/>
      </c>
      <c r="K463" s="6" t="str">
        <f t="shared" si="3"/>
        <v/>
      </c>
    </row>
    <row r="464">
      <c r="A464" s="5"/>
      <c r="B464" s="5"/>
      <c r="C464" s="5"/>
      <c r="D464" s="5"/>
      <c r="E464" s="5"/>
      <c r="F464" s="3"/>
      <c r="G464" s="5"/>
      <c r="H464" s="5"/>
      <c r="I464" s="5" t="str">
        <f t="shared" si="4"/>
        <v/>
      </c>
      <c r="J464" s="6" t="str">
        <f t="shared" si="2"/>
        <v/>
      </c>
      <c r="K464" s="6" t="str">
        <f t="shared" si="3"/>
        <v/>
      </c>
    </row>
    <row r="465">
      <c r="A465" s="5"/>
      <c r="B465" s="5"/>
      <c r="C465" s="5"/>
      <c r="D465" s="5"/>
      <c r="E465" s="5"/>
      <c r="F465" s="3"/>
      <c r="G465" s="5"/>
      <c r="H465" s="5"/>
      <c r="I465" s="5" t="str">
        <f t="shared" si="4"/>
        <v/>
      </c>
      <c r="J465" s="6" t="str">
        <f t="shared" si="2"/>
        <v/>
      </c>
      <c r="K465" s="6" t="str">
        <f t="shared" si="3"/>
        <v/>
      </c>
    </row>
    <row r="466">
      <c r="A466" s="5"/>
      <c r="B466" s="5"/>
      <c r="C466" s="5"/>
      <c r="D466" s="5"/>
      <c r="E466" s="5"/>
      <c r="F466" s="3"/>
      <c r="G466" s="5"/>
      <c r="H466" s="5"/>
      <c r="I466" s="5" t="str">
        <f t="shared" si="4"/>
        <v/>
      </c>
      <c r="J466" s="6" t="str">
        <f t="shared" si="2"/>
        <v/>
      </c>
      <c r="K466" s="6" t="str">
        <f t="shared" si="3"/>
        <v/>
      </c>
    </row>
    <row r="467">
      <c r="A467" s="5"/>
      <c r="B467" s="5"/>
      <c r="C467" s="5"/>
      <c r="D467" s="5"/>
      <c r="E467" s="5"/>
      <c r="F467" s="3"/>
      <c r="G467" s="5"/>
      <c r="H467" s="5"/>
      <c r="I467" s="5" t="str">
        <f t="shared" si="4"/>
        <v/>
      </c>
      <c r="J467" s="6" t="str">
        <f t="shared" si="2"/>
        <v/>
      </c>
      <c r="K467" s="6" t="str">
        <f t="shared" si="3"/>
        <v/>
      </c>
    </row>
    <row r="468">
      <c r="A468" s="5"/>
      <c r="B468" s="5"/>
      <c r="C468" s="5"/>
      <c r="D468" s="5"/>
      <c r="E468" s="5"/>
      <c r="F468" s="3"/>
      <c r="G468" s="5"/>
      <c r="H468" s="5"/>
      <c r="I468" s="5" t="str">
        <f t="shared" si="4"/>
        <v/>
      </c>
      <c r="J468" s="6" t="str">
        <f t="shared" si="2"/>
        <v/>
      </c>
      <c r="K468" s="6" t="str">
        <f t="shared" si="3"/>
        <v/>
      </c>
    </row>
    <row r="469">
      <c r="A469" s="5"/>
      <c r="B469" s="5"/>
      <c r="C469" s="5"/>
      <c r="D469" s="5"/>
      <c r="E469" s="5"/>
      <c r="F469" s="3"/>
      <c r="G469" s="5"/>
      <c r="H469" s="5"/>
      <c r="I469" s="5" t="str">
        <f t="shared" si="4"/>
        <v/>
      </c>
      <c r="J469" s="6" t="str">
        <f t="shared" si="2"/>
        <v/>
      </c>
      <c r="K469" s="6" t="str">
        <f t="shared" si="3"/>
        <v/>
      </c>
    </row>
    <row r="470">
      <c r="A470" s="5"/>
      <c r="B470" s="5"/>
      <c r="C470" s="5"/>
      <c r="D470" s="5"/>
      <c r="E470" s="5"/>
      <c r="F470" s="3"/>
      <c r="G470" s="5"/>
      <c r="H470" s="5"/>
      <c r="I470" s="5" t="str">
        <f t="shared" si="4"/>
        <v/>
      </c>
      <c r="J470" s="6" t="str">
        <f t="shared" si="2"/>
        <v/>
      </c>
      <c r="K470" s="6" t="str">
        <f t="shared" si="3"/>
        <v/>
      </c>
    </row>
    <row r="471">
      <c r="A471" s="5"/>
      <c r="B471" s="5"/>
      <c r="C471" s="5"/>
      <c r="D471" s="5"/>
      <c r="E471" s="5"/>
      <c r="F471" s="3"/>
      <c r="G471" s="5"/>
      <c r="H471" s="5"/>
      <c r="I471" s="5" t="str">
        <f t="shared" si="4"/>
        <v/>
      </c>
      <c r="J471" s="6" t="str">
        <f t="shared" si="2"/>
        <v/>
      </c>
      <c r="K471" s="6" t="str">
        <f t="shared" si="3"/>
        <v/>
      </c>
    </row>
    <row r="472">
      <c r="A472" s="5"/>
      <c r="B472" s="5"/>
      <c r="C472" s="5"/>
      <c r="D472" s="5"/>
      <c r="E472" s="5"/>
      <c r="F472" s="3"/>
      <c r="G472" s="5"/>
      <c r="H472" s="5"/>
      <c r="I472" s="5" t="str">
        <f t="shared" si="4"/>
        <v/>
      </c>
      <c r="J472" s="6" t="str">
        <f t="shared" si="2"/>
        <v/>
      </c>
      <c r="K472" s="6" t="str">
        <f t="shared" si="3"/>
        <v/>
      </c>
    </row>
    <row r="473">
      <c r="A473" s="5"/>
      <c r="B473" s="5"/>
      <c r="C473" s="5"/>
      <c r="D473" s="5"/>
      <c r="E473" s="5"/>
      <c r="F473" s="3"/>
      <c r="G473" s="5"/>
      <c r="H473" s="5"/>
      <c r="I473" s="5" t="str">
        <f t="shared" si="4"/>
        <v/>
      </c>
      <c r="J473" s="6" t="str">
        <f t="shared" si="2"/>
        <v/>
      </c>
      <c r="K473" s="6" t="str">
        <f t="shared" si="3"/>
        <v/>
      </c>
    </row>
    <row r="474">
      <c r="A474" s="5"/>
      <c r="B474" s="5"/>
      <c r="C474" s="5"/>
      <c r="D474" s="5"/>
      <c r="E474" s="5"/>
      <c r="F474" s="3"/>
      <c r="G474" s="5"/>
      <c r="H474" s="5"/>
      <c r="I474" s="5" t="str">
        <f t="shared" si="4"/>
        <v/>
      </c>
      <c r="J474" s="6" t="str">
        <f t="shared" si="2"/>
        <v/>
      </c>
      <c r="K474" s="6" t="str">
        <f t="shared" si="3"/>
        <v/>
      </c>
    </row>
    <row r="475">
      <c r="A475" s="5"/>
      <c r="B475" s="5"/>
      <c r="C475" s="5"/>
      <c r="D475" s="5"/>
      <c r="E475" s="5"/>
      <c r="F475" s="3"/>
      <c r="G475" s="5"/>
      <c r="H475" s="5"/>
      <c r="I475" s="5" t="str">
        <f t="shared" si="4"/>
        <v/>
      </c>
      <c r="J475" s="6" t="str">
        <f t="shared" si="2"/>
        <v/>
      </c>
      <c r="K475" s="6" t="str">
        <f t="shared" si="3"/>
        <v/>
      </c>
    </row>
    <row r="476">
      <c r="A476" s="5"/>
      <c r="B476" s="5"/>
      <c r="C476" s="5"/>
      <c r="D476" s="5"/>
      <c r="E476" s="5"/>
      <c r="F476" s="3"/>
      <c r="G476" s="5"/>
      <c r="H476" s="5"/>
      <c r="I476" s="5" t="str">
        <f t="shared" si="4"/>
        <v/>
      </c>
      <c r="J476" s="6" t="str">
        <f t="shared" si="2"/>
        <v/>
      </c>
      <c r="K476" s="6" t="str">
        <f t="shared" si="3"/>
        <v/>
      </c>
    </row>
    <row r="477">
      <c r="A477" s="5"/>
      <c r="B477" s="5"/>
      <c r="C477" s="5"/>
      <c r="D477" s="5"/>
      <c r="E477" s="5"/>
      <c r="F477" s="3"/>
      <c r="G477" s="5"/>
      <c r="H477" s="5"/>
      <c r="I477" s="5" t="str">
        <f t="shared" si="4"/>
        <v/>
      </c>
      <c r="J477" s="6" t="str">
        <f t="shared" si="2"/>
        <v/>
      </c>
      <c r="K477" s="6" t="str">
        <f t="shared" si="3"/>
        <v/>
      </c>
    </row>
    <row r="478">
      <c r="A478" s="5"/>
      <c r="B478" s="5"/>
      <c r="C478" s="5"/>
      <c r="D478" s="5"/>
      <c r="E478" s="5"/>
      <c r="F478" s="3"/>
      <c r="G478" s="5"/>
      <c r="H478" s="5"/>
      <c r="I478" s="5" t="str">
        <f t="shared" si="4"/>
        <v/>
      </c>
      <c r="J478" s="6" t="str">
        <f t="shared" si="2"/>
        <v/>
      </c>
      <c r="K478" s="6" t="str">
        <f t="shared" si="3"/>
        <v/>
      </c>
    </row>
    <row r="479">
      <c r="A479" s="5"/>
      <c r="B479" s="5"/>
      <c r="C479" s="5"/>
      <c r="D479" s="5"/>
      <c r="E479" s="5"/>
      <c r="F479" s="3"/>
      <c r="G479" s="5"/>
      <c r="H479" s="5"/>
      <c r="I479" s="5" t="str">
        <f t="shared" si="4"/>
        <v/>
      </c>
      <c r="J479" s="6" t="str">
        <f t="shared" si="2"/>
        <v/>
      </c>
      <c r="K479" s="6" t="str">
        <f t="shared" si="3"/>
        <v/>
      </c>
    </row>
    <row r="480">
      <c r="A480" s="5"/>
      <c r="B480" s="5"/>
      <c r="C480" s="5"/>
      <c r="D480" s="5"/>
      <c r="E480" s="5"/>
      <c r="F480" s="3"/>
      <c r="G480" s="5"/>
      <c r="H480" s="5"/>
      <c r="I480" s="5" t="str">
        <f t="shared" si="4"/>
        <v/>
      </c>
      <c r="J480" s="6" t="str">
        <f t="shared" si="2"/>
        <v/>
      </c>
      <c r="K480" s="6" t="str">
        <f t="shared" si="3"/>
        <v/>
      </c>
    </row>
    <row r="481">
      <c r="A481" s="5"/>
      <c r="B481" s="5"/>
      <c r="C481" s="5"/>
      <c r="D481" s="5"/>
      <c r="E481" s="5"/>
      <c r="F481" s="3"/>
      <c r="G481" s="5"/>
      <c r="H481" s="5"/>
      <c r="I481" s="5" t="str">
        <f t="shared" si="4"/>
        <v/>
      </c>
      <c r="J481" s="6" t="str">
        <f t="shared" si="2"/>
        <v/>
      </c>
      <c r="K481" s="6" t="str">
        <f t="shared" si="3"/>
        <v/>
      </c>
    </row>
    <row r="482">
      <c r="A482" s="5"/>
      <c r="B482" s="5"/>
      <c r="C482" s="5"/>
      <c r="D482" s="5"/>
      <c r="E482" s="5"/>
      <c r="F482" s="3"/>
      <c r="G482" s="5"/>
      <c r="H482" s="5"/>
      <c r="I482" s="5" t="str">
        <f t="shared" si="4"/>
        <v/>
      </c>
      <c r="J482" s="6" t="str">
        <f t="shared" si="2"/>
        <v/>
      </c>
      <c r="K482" s="6" t="str">
        <f t="shared" si="3"/>
        <v/>
      </c>
    </row>
    <row r="483">
      <c r="A483" s="5"/>
      <c r="B483" s="5"/>
      <c r="C483" s="5"/>
      <c r="D483" s="5"/>
      <c r="E483" s="5"/>
      <c r="F483" s="3"/>
      <c r="G483" s="5"/>
      <c r="H483" s="5"/>
      <c r="I483" s="5" t="str">
        <f t="shared" si="4"/>
        <v/>
      </c>
      <c r="J483" s="6" t="str">
        <f t="shared" si="2"/>
        <v/>
      </c>
      <c r="K483" s="6" t="str">
        <f t="shared" si="3"/>
        <v/>
      </c>
    </row>
    <row r="484">
      <c r="A484" s="5"/>
      <c r="B484" s="5"/>
      <c r="C484" s="5"/>
      <c r="D484" s="5"/>
      <c r="E484" s="5"/>
      <c r="F484" s="3"/>
      <c r="G484" s="5"/>
      <c r="H484" s="5"/>
      <c r="I484" s="5" t="str">
        <f t="shared" si="4"/>
        <v/>
      </c>
      <c r="J484" s="6" t="str">
        <f t="shared" si="2"/>
        <v/>
      </c>
      <c r="K484" s="6" t="str">
        <f t="shared" si="3"/>
        <v/>
      </c>
    </row>
    <row r="485">
      <c r="A485" s="5"/>
      <c r="B485" s="5"/>
      <c r="C485" s="5"/>
      <c r="D485" s="5"/>
      <c r="E485" s="5"/>
      <c r="F485" s="3"/>
      <c r="G485" s="5"/>
      <c r="H485" s="5"/>
      <c r="I485" s="5" t="str">
        <f t="shared" si="4"/>
        <v/>
      </c>
      <c r="J485" s="6" t="str">
        <f t="shared" si="2"/>
        <v/>
      </c>
      <c r="K485" s="6" t="str">
        <f t="shared" si="3"/>
        <v/>
      </c>
    </row>
    <row r="486">
      <c r="A486" s="5"/>
      <c r="B486" s="5"/>
      <c r="C486" s="5"/>
      <c r="D486" s="5"/>
      <c r="E486" s="5"/>
      <c r="F486" s="3"/>
      <c r="G486" s="5"/>
      <c r="H486" s="5"/>
      <c r="I486" s="5" t="str">
        <f t="shared" si="4"/>
        <v/>
      </c>
      <c r="J486" s="6" t="str">
        <f t="shared" si="2"/>
        <v/>
      </c>
      <c r="K486" s="6" t="str">
        <f t="shared" si="3"/>
        <v/>
      </c>
    </row>
    <row r="487">
      <c r="A487" s="5"/>
      <c r="B487" s="5"/>
      <c r="C487" s="5"/>
      <c r="D487" s="5"/>
      <c r="E487" s="5"/>
      <c r="F487" s="3"/>
      <c r="G487" s="5"/>
      <c r="H487" s="5"/>
      <c r="I487" s="5" t="str">
        <f t="shared" si="4"/>
        <v/>
      </c>
      <c r="J487" s="6" t="str">
        <f t="shared" si="2"/>
        <v/>
      </c>
      <c r="K487" s="6" t="str">
        <f t="shared" si="3"/>
        <v/>
      </c>
    </row>
    <row r="488">
      <c r="A488" s="5"/>
      <c r="B488" s="5"/>
      <c r="C488" s="5"/>
      <c r="D488" s="5"/>
      <c r="E488" s="5"/>
      <c r="F488" s="3"/>
      <c r="G488" s="5"/>
      <c r="H488" s="5"/>
      <c r="I488" s="5" t="str">
        <f t="shared" si="4"/>
        <v/>
      </c>
      <c r="J488" s="6" t="str">
        <f t="shared" si="2"/>
        <v/>
      </c>
      <c r="K488" s="6" t="str">
        <f t="shared" si="3"/>
        <v/>
      </c>
    </row>
    <row r="489">
      <c r="A489" s="5"/>
      <c r="B489" s="5"/>
      <c r="C489" s="5"/>
      <c r="D489" s="5"/>
      <c r="E489" s="5"/>
      <c r="F489" s="3"/>
      <c r="G489" s="5"/>
      <c r="H489" s="5"/>
      <c r="I489" s="5" t="str">
        <f t="shared" si="4"/>
        <v/>
      </c>
      <c r="J489" s="6" t="str">
        <f t="shared" si="2"/>
        <v/>
      </c>
      <c r="K489" s="6" t="str">
        <f t="shared" si="3"/>
        <v/>
      </c>
    </row>
    <row r="490">
      <c r="A490" s="5"/>
      <c r="B490" s="5"/>
      <c r="C490" s="5"/>
      <c r="D490" s="5"/>
      <c r="E490" s="5"/>
      <c r="F490" s="3"/>
      <c r="G490" s="5"/>
      <c r="H490" s="5"/>
      <c r="I490" s="5" t="str">
        <f t="shared" si="4"/>
        <v/>
      </c>
      <c r="J490" s="6" t="str">
        <f t="shared" si="2"/>
        <v/>
      </c>
      <c r="K490" s="6" t="str">
        <f t="shared" si="3"/>
        <v/>
      </c>
    </row>
    <row r="491">
      <c r="A491" s="5"/>
      <c r="B491" s="5"/>
      <c r="C491" s="5"/>
      <c r="D491" s="5"/>
      <c r="E491" s="5"/>
      <c r="F491" s="3"/>
      <c r="G491" s="5"/>
      <c r="H491" s="5"/>
      <c r="I491" s="5" t="str">
        <f t="shared" si="4"/>
        <v/>
      </c>
      <c r="J491" s="6" t="str">
        <f t="shared" si="2"/>
        <v/>
      </c>
      <c r="K491" s="6" t="str">
        <f t="shared" si="3"/>
        <v/>
      </c>
    </row>
    <row r="492">
      <c r="A492" s="5"/>
      <c r="B492" s="5"/>
      <c r="C492" s="5"/>
      <c r="D492" s="5"/>
      <c r="E492" s="5"/>
      <c r="F492" s="3"/>
      <c r="G492" s="5"/>
      <c r="H492" s="5"/>
      <c r="I492" s="5" t="str">
        <f t="shared" si="4"/>
        <v/>
      </c>
      <c r="J492" s="6" t="str">
        <f t="shared" si="2"/>
        <v/>
      </c>
      <c r="K492" s="6" t="str">
        <f t="shared" si="3"/>
        <v/>
      </c>
    </row>
    <row r="493">
      <c r="A493" s="5"/>
      <c r="B493" s="5"/>
      <c r="C493" s="5"/>
      <c r="D493" s="5"/>
      <c r="E493" s="5"/>
      <c r="F493" s="3"/>
      <c r="G493" s="5"/>
      <c r="H493" s="5"/>
      <c r="I493" s="5" t="str">
        <f t="shared" si="4"/>
        <v/>
      </c>
      <c r="J493" s="6" t="str">
        <f t="shared" si="2"/>
        <v/>
      </c>
      <c r="K493" s="6" t="str">
        <f t="shared" si="3"/>
        <v/>
      </c>
    </row>
    <row r="494">
      <c r="A494" s="5"/>
      <c r="B494" s="5"/>
      <c r="C494" s="5"/>
      <c r="D494" s="5"/>
      <c r="E494" s="5"/>
      <c r="F494" s="3"/>
      <c r="G494" s="5"/>
      <c r="H494" s="5"/>
      <c r="I494" s="5" t="str">
        <f t="shared" si="4"/>
        <v/>
      </c>
      <c r="J494" s="6" t="str">
        <f t="shared" si="2"/>
        <v/>
      </c>
      <c r="K494" s="6" t="str">
        <f t="shared" si="3"/>
        <v/>
      </c>
    </row>
    <row r="495">
      <c r="A495" s="5"/>
      <c r="B495" s="5"/>
      <c r="C495" s="5"/>
      <c r="D495" s="5"/>
      <c r="E495" s="5"/>
      <c r="F495" s="3"/>
      <c r="G495" s="5"/>
      <c r="H495" s="5"/>
      <c r="I495" s="5" t="str">
        <f t="shared" si="4"/>
        <v/>
      </c>
      <c r="J495" s="6" t="str">
        <f t="shared" si="2"/>
        <v/>
      </c>
      <c r="K495" s="6" t="str">
        <f t="shared" si="3"/>
        <v/>
      </c>
    </row>
    <row r="496">
      <c r="A496" s="5"/>
      <c r="B496" s="5"/>
      <c r="C496" s="5"/>
      <c r="D496" s="5"/>
      <c r="E496" s="5"/>
      <c r="F496" s="3"/>
      <c r="G496" s="5"/>
      <c r="H496" s="5"/>
      <c r="I496" s="5" t="str">
        <f t="shared" si="4"/>
        <v/>
      </c>
      <c r="J496" s="6" t="str">
        <f t="shared" si="2"/>
        <v/>
      </c>
      <c r="K496" s="6" t="str">
        <f t="shared" si="3"/>
        <v/>
      </c>
    </row>
    <row r="497">
      <c r="A497" s="5"/>
      <c r="B497" s="5"/>
      <c r="C497" s="5"/>
      <c r="D497" s="5"/>
      <c r="E497" s="5"/>
      <c r="F497" s="3"/>
      <c r="G497" s="5"/>
      <c r="H497" s="5"/>
      <c r="I497" s="5" t="str">
        <f t="shared" si="4"/>
        <v/>
      </c>
      <c r="J497" s="6" t="str">
        <f t="shared" si="2"/>
        <v/>
      </c>
      <c r="K497" s="6" t="str">
        <f t="shared" si="3"/>
        <v/>
      </c>
    </row>
    <row r="498">
      <c r="A498" s="5"/>
      <c r="B498" s="5"/>
      <c r="C498" s="5"/>
      <c r="D498" s="5"/>
      <c r="E498" s="5"/>
      <c r="F498" s="3"/>
      <c r="G498" s="5"/>
      <c r="H498" s="5"/>
      <c r="I498" s="5" t="str">
        <f t="shared" si="4"/>
        <v/>
      </c>
      <c r="J498" s="6" t="str">
        <f t="shared" si="2"/>
        <v/>
      </c>
      <c r="K498" s="6" t="str">
        <f t="shared" si="3"/>
        <v/>
      </c>
    </row>
    <row r="499">
      <c r="A499" s="5"/>
      <c r="B499" s="5"/>
      <c r="C499" s="5"/>
      <c r="D499" s="5"/>
      <c r="E499" s="5"/>
      <c r="F499" s="3"/>
      <c r="G499" s="5"/>
      <c r="H499" s="5"/>
      <c r="I499" s="5" t="str">
        <f t="shared" si="4"/>
        <v/>
      </c>
      <c r="J499" s="6" t="str">
        <f t="shared" si="2"/>
        <v/>
      </c>
      <c r="K499" s="6" t="str">
        <f t="shared" si="3"/>
        <v/>
      </c>
    </row>
    <row r="500">
      <c r="A500" s="5"/>
      <c r="B500" s="5"/>
      <c r="C500" s="5"/>
      <c r="D500" s="5"/>
      <c r="E500" s="5"/>
      <c r="F500" s="3"/>
      <c r="G500" s="5"/>
      <c r="H500" s="5"/>
      <c r="I500" s="5" t="str">
        <f t="shared" si="4"/>
        <v/>
      </c>
      <c r="J500" s="6" t="str">
        <f t="shared" si="2"/>
        <v/>
      </c>
      <c r="K500" s="6" t="str">
        <f t="shared" si="3"/>
        <v/>
      </c>
    </row>
    <row r="501">
      <c r="A501" s="5"/>
      <c r="B501" s="5"/>
      <c r="C501" s="5"/>
      <c r="D501" s="5"/>
      <c r="E501" s="5"/>
      <c r="F501" s="3"/>
      <c r="G501" s="5"/>
      <c r="H501" s="5"/>
      <c r="I501" s="5" t="str">
        <f t="shared" si="4"/>
        <v/>
      </c>
      <c r="J501" s="6" t="str">
        <f t="shared" si="2"/>
        <v/>
      </c>
      <c r="K501" s="6" t="str">
        <f t="shared" si="3"/>
        <v/>
      </c>
    </row>
    <row r="502">
      <c r="A502" s="5"/>
      <c r="B502" s="5"/>
      <c r="C502" s="5"/>
      <c r="D502" s="5"/>
      <c r="E502" s="5"/>
      <c r="F502" s="3"/>
      <c r="G502" s="5"/>
      <c r="H502" s="5"/>
      <c r="I502" s="5" t="str">
        <f t="shared" si="4"/>
        <v/>
      </c>
      <c r="J502" s="6" t="str">
        <f t="shared" si="2"/>
        <v/>
      </c>
      <c r="K502" s="6" t="str">
        <f t="shared" si="3"/>
        <v/>
      </c>
    </row>
    <row r="503">
      <c r="A503" s="5"/>
      <c r="B503" s="5"/>
      <c r="C503" s="5"/>
      <c r="D503" s="5"/>
      <c r="E503" s="5"/>
      <c r="F503" s="3"/>
      <c r="G503" s="5"/>
      <c r="H503" s="5"/>
      <c r="I503" s="5" t="str">
        <f t="shared" si="4"/>
        <v/>
      </c>
      <c r="J503" s="6" t="str">
        <f t="shared" si="2"/>
        <v/>
      </c>
      <c r="K503" s="6" t="str">
        <f t="shared" si="3"/>
        <v/>
      </c>
    </row>
    <row r="504">
      <c r="A504" s="5"/>
      <c r="B504" s="5"/>
      <c r="C504" s="5"/>
      <c r="D504" s="5"/>
      <c r="E504" s="5"/>
      <c r="F504" s="3"/>
      <c r="G504" s="5"/>
      <c r="H504" s="5"/>
      <c r="I504" s="5" t="str">
        <f t="shared" si="4"/>
        <v/>
      </c>
      <c r="J504" s="6" t="str">
        <f t="shared" si="2"/>
        <v/>
      </c>
      <c r="K504" s="6" t="str">
        <f t="shared" si="3"/>
        <v/>
      </c>
    </row>
    <row r="505">
      <c r="A505" s="5"/>
      <c r="B505" s="5"/>
      <c r="C505" s="5"/>
      <c r="D505" s="5"/>
      <c r="E505" s="5"/>
      <c r="F505" s="3"/>
      <c r="G505" s="5"/>
      <c r="H505" s="5"/>
      <c r="I505" s="5" t="str">
        <f t="shared" si="4"/>
        <v/>
      </c>
      <c r="J505" s="6" t="str">
        <f t="shared" si="2"/>
        <v/>
      </c>
      <c r="K505" s="6" t="str">
        <f t="shared" si="3"/>
        <v/>
      </c>
    </row>
    <row r="506">
      <c r="A506" s="5"/>
      <c r="B506" s="5"/>
      <c r="C506" s="5"/>
      <c r="D506" s="5"/>
      <c r="E506" s="5"/>
      <c r="F506" s="3"/>
      <c r="G506" s="5"/>
      <c r="H506" s="5"/>
      <c r="I506" s="5" t="str">
        <f t="shared" si="4"/>
        <v/>
      </c>
      <c r="J506" s="6" t="str">
        <f t="shared" si="2"/>
        <v/>
      </c>
      <c r="K506" s="6" t="str">
        <f t="shared" si="3"/>
        <v/>
      </c>
    </row>
    <row r="507">
      <c r="A507" s="5"/>
      <c r="B507" s="5"/>
      <c r="C507" s="5"/>
      <c r="D507" s="5"/>
      <c r="E507" s="5"/>
      <c r="F507" s="3"/>
      <c r="G507" s="5"/>
      <c r="H507" s="5"/>
      <c r="I507" s="5" t="str">
        <f t="shared" si="4"/>
        <v/>
      </c>
      <c r="J507" s="6" t="str">
        <f t="shared" si="2"/>
        <v/>
      </c>
      <c r="K507" s="6" t="str">
        <f t="shared" si="3"/>
        <v/>
      </c>
    </row>
    <row r="508">
      <c r="A508" s="5"/>
      <c r="B508" s="5"/>
      <c r="C508" s="5"/>
      <c r="D508" s="5"/>
      <c r="E508" s="5"/>
      <c r="F508" s="3"/>
      <c r="G508" s="5"/>
      <c r="H508" s="5"/>
      <c r="I508" s="5" t="str">
        <f t="shared" si="4"/>
        <v/>
      </c>
      <c r="J508" s="6" t="str">
        <f t="shared" si="2"/>
        <v/>
      </c>
      <c r="K508" s="6" t="str">
        <f t="shared" si="3"/>
        <v/>
      </c>
    </row>
    <row r="509">
      <c r="A509" s="5"/>
      <c r="B509" s="5"/>
      <c r="C509" s="5"/>
      <c r="D509" s="5"/>
      <c r="E509" s="5"/>
      <c r="F509" s="3"/>
      <c r="G509" s="5"/>
      <c r="H509" s="5"/>
      <c r="I509" s="5" t="str">
        <f t="shared" si="4"/>
        <v/>
      </c>
      <c r="J509" s="6" t="str">
        <f t="shared" si="2"/>
        <v/>
      </c>
      <c r="K509" s="6" t="str">
        <f t="shared" si="3"/>
        <v/>
      </c>
    </row>
    <row r="510">
      <c r="A510" s="5"/>
      <c r="B510" s="5"/>
      <c r="C510" s="5"/>
      <c r="D510" s="5"/>
      <c r="E510" s="5"/>
      <c r="F510" s="3"/>
      <c r="G510" s="5"/>
      <c r="H510" s="5"/>
      <c r="I510" s="5" t="str">
        <f t="shared" si="4"/>
        <v/>
      </c>
      <c r="J510" s="6" t="str">
        <f t="shared" si="2"/>
        <v/>
      </c>
      <c r="K510" s="6" t="str">
        <f t="shared" si="3"/>
        <v/>
      </c>
    </row>
    <row r="511">
      <c r="A511" s="5"/>
      <c r="B511" s="5"/>
      <c r="C511" s="5"/>
      <c r="D511" s="5"/>
      <c r="E511" s="5"/>
      <c r="F511" s="3"/>
      <c r="G511" s="5"/>
      <c r="H511" s="5"/>
      <c r="I511" s="5" t="str">
        <f t="shared" si="4"/>
        <v/>
      </c>
      <c r="J511" s="6" t="str">
        <f t="shared" si="2"/>
        <v/>
      </c>
      <c r="K511" s="6" t="str">
        <f t="shared" si="3"/>
        <v/>
      </c>
    </row>
    <row r="512">
      <c r="A512" s="5"/>
      <c r="B512" s="5"/>
      <c r="C512" s="5"/>
      <c r="D512" s="5"/>
      <c r="E512" s="5"/>
      <c r="F512" s="3"/>
      <c r="G512" s="5"/>
      <c r="H512" s="5"/>
      <c r="I512" s="5" t="str">
        <f t="shared" si="4"/>
        <v/>
      </c>
      <c r="J512" s="6" t="str">
        <f t="shared" si="2"/>
        <v/>
      </c>
      <c r="K512" s="6" t="str">
        <f t="shared" si="3"/>
        <v/>
      </c>
    </row>
    <row r="513">
      <c r="A513" s="5"/>
      <c r="B513" s="5"/>
      <c r="C513" s="5"/>
      <c r="D513" s="5"/>
      <c r="E513" s="5"/>
      <c r="F513" s="3"/>
      <c r="G513" s="5"/>
      <c r="H513" s="5"/>
      <c r="I513" s="5" t="str">
        <f t="shared" si="4"/>
        <v/>
      </c>
      <c r="J513" s="6" t="str">
        <f t="shared" si="2"/>
        <v/>
      </c>
      <c r="K513" s="6" t="str">
        <f t="shared" si="3"/>
        <v/>
      </c>
    </row>
    <row r="514">
      <c r="A514" s="5"/>
      <c r="B514" s="5"/>
      <c r="C514" s="5"/>
      <c r="D514" s="5"/>
      <c r="E514" s="5"/>
      <c r="F514" s="3"/>
      <c r="G514" s="5"/>
      <c r="H514" s="5"/>
      <c r="I514" s="5" t="str">
        <f t="shared" si="4"/>
        <v/>
      </c>
      <c r="J514" s="6" t="str">
        <f t="shared" si="2"/>
        <v/>
      </c>
      <c r="K514" s="6" t="str">
        <f t="shared" si="3"/>
        <v/>
      </c>
    </row>
    <row r="515">
      <c r="A515" s="5"/>
      <c r="B515" s="5"/>
      <c r="C515" s="5"/>
      <c r="D515" s="5"/>
      <c r="E515" s="5"/>
      <c r="F515" s="3"/>
      <c r="G515" s="5"/>
      <c r="H515" s="5"/>
      <c r="I515" s="5" t="str">
        <f t="shared" si="4"/>
        <v/>
      </c>
      <c r="J515" s="6" t="str">
        <f t="shared" si="2"/>
        <v/>
      </c>
      <c r="K515" s="6" t="str">
        <f t="shared" si="3"/>
        <v/>
      </c>
    </row>
    <row r="516">
      <c r="A516" s="5"/>
      <c r="B516" s="5"/>
      <c r="C516" s="5"/>
      <c r="D516" s="5"/>
      <c r="E516" s="5"/>
      <c r="F516" s="3"/>
      <c r="G516" s="5"/>
      <c r="H516" s="5"/>
      <c r="I516" s="5" t="str">
        <f t="shared" si="4"/>
        <v/>
      </c>
      <c r="J516" s="6" t="str">
        <f t="shared" si="2"/>
        <v/>
      </c>
      <c r="K516" s="6" t="str">
        <f t="shared" si="3"/>
        <v/>
      </c>
    </row>
    <row r="517">
      <c r="A517" s="5"/>
      <c r="B517" s="5"/>
      <c r="C517" s="5"/>
      <c r="D517" s="5"/>
      <c r="E517" s="5"/>
      <c r="F517" s="3"/>
      <c r="G517" s="5"/>
      <c r="H517" s="5"/>
      <c r="I517" s="5" t="str">
        <f t="shared" si="4"/>
        <v/>
      </c>
      <c r="J517" s="6" t="str">
        <f t="shared" si="2"/>
        <v/>
      </c>
      <c r="K517" s="6" t="str">
        <f t="shared" si="3"/>
        <v/>
      </c>
    </row>
    <row r="518">
      <c r="A518" s="5"/>
      <c r="B518" s="5"/>
      <c r="C518" s="5"/>
      <c r="D518" s="5"/>
      <c r="E518" s="5"/>
      <c r="F518" s="3"/>
      <c r="G518" s="5"/>
      <c r="H518" s="5"/>
      <c r="I518" s="5" t="str">
        <f t="shared" si="4"/>
        <v/>
      </c>
      <c r="J518" s="6" t="str">
        <f t="shared" si="2"/>
        <v/>
      </c>
      <c r="K518" s="6" t="str">
        <f t="shared" si="3"/>
        <v/>
      </c>
    </row>
    <row r="519">
      <c r="A519" s="5"/>
      <c r="B519" s="5"/>
      <c r="C519" s="5"/>
      <c r="D519" s="5"/>
      <c r="E519" s="5"/>
      <c r="F519" s="3"/>
      <c r="G519" s="5"/>
      <c r="H519" s="5"/>
      <c r="I519" s="5" t="str">
        <f t="shared" si="4"/>
        <v/>
      </c>
      <c r="J519" s="6" t="str">
        <f t="shared" si="2"/>
        <v/>
      </c>
      <c r="K519" s="6" t="str">
        <f t="shared" si="3"/>
        <v/>
      </c>
    </row>
    <row r="520">
      <c r="A520" s="5"/>
      <c r="B520" s="5"/>
      <c r="C520" s="5"/>
      <c r="D520" s="5"/>
      <c r="E520" s="5"/>
      <c r="F520" s="3"/>
      <c r="G520" s="5"/>
      <c r="H520" s="5"/>
      <c r="I520" s="5" t="str">
        <f t="shared" si="4"/>
        <v/>
      </c>
      <c r="J520" s="6" t="str">
        <f t="shared" si="2"/>
        <v/>
      </c>
      <c r="K520" s="6" t="str">
        <f t="shared" si="3"/>
        <v/>
      </c>
    </row>
    <row r="521">
      <c r="A521" s="5"/>
      <c r="B521" s="5"/>
      <c r="C521" s="5"/>
      <c r="D521" s="5"/>
      <c r="E521" s="5"/>
      <c r="F521" s="3"/>
      <c r="G521" s="5"/>
      <c r="H521" s="5"/>
      <c r="I521" s="5" t="str">
        <f t="shared" si="4"/>
        <v/>
      </c>
      <c r="J521" s="6" t="str">
        <f t="shared" si="2"/>
        <v/>
      </c>
      <c r="K521" s="6" t="str">
        <f t="shared" si="3"/>
        <v/>
      </c>
    </row>
    <row r="522">
      <c r="A522" s="5"/>
      <c r="B522" s="5"/>
      <c r="C522" s="5"/>
      <c r="D522" s="5"/>
      <c r="E522" s="5"/>
      <c r="F522" s="3"/>
      <c r="G522" s="5"/>
      <c r="H522" s="5"/>
      <c r="I522" s="5" t="str">
        <f t="shared" si="4"/>
        <v/>
      </c>
      <c r="J522" s="6" t="str">
        <f t="shared" si="2"/>
        <v/>
      </c>
      <c r="K522" s="6" t="str">
        <f t="shared" si="3"/>
        <v/>
      </c>
    </row>
    <row r="523">
      <c r="A523" s="5"/>
      <c r="B523" s="5"/>
      <c r="C523" s="5"/>
      <c r="D523" s="5"/>
      <c r="E523" s="5"/>
      <c r="F523" s="3"/>
      <c r="G523" s="5"/>
      <c r="H523" s="5"/>
      <c r="I523" s="5" t="str">
        <f t="shared" si="4"/>
        <v/>
      </c>
      <c r="J523" s="6" t="str">
        <f t="shared" si="2"/>
        <v/>
      </c>
      <c r="K523" s="6" t="str">
        <f t="shared" si="3"/>
        <v/>
      </c>
    </row>
    <row r="524">
      <c r="A524" s="5"/>
      <c r="B524" s="5"/>
      <c r="C524" s="5"/>
      <c r="D524" s="5"/>
      <c r="E524" s="5"/>
      <c r="F524" s="3"/>
      <c r="G524" s="5"/>
      <c r="H524" s="5"/>
      <c r="I524" s="5" t="str">
        <f t="shared" si="4"/>
        <v/>
      </c>
      <c r="J524" s="6" t="str">
        <f t="shared" si="2"/>
        <v/>
      </c>
      <c r="K524" s="6" t="str">
        <f t="shared" si="3"/>
        <v/>
      </c>
    </row>
    <row r="525">
      <c r="A525" s="5"/>
      <c r="B525" s="5"/>
      <c r="C525" s="5"/>
      <c r="D525" s="5"/>
      <c r="E525" s="5"/>
      <c r="F525" s="3"/>
      <c r="G525" s="5"/>
      <c r="H525" s="5"/>
      <c r="I525" s="5" t="str">
        <f t="shared" si="4"/>
        <v/>
      </c>
      <c r="J525" s="6" t="str">
        <f t="shared" si="2"/>
        <v/>
      </c>
      <c r="K525" s="6" t="str">
        <f t="shared" si="3"/>
        <v/>
      </c>
    </row>
    <row r="526">
      <c r="A526" s="5"/>
      <c r="B526" s="5"/>
      <c r="C526" s="5"/>
      <c r="D526" s="5"/>
      <c r="E526" s="5"/>
      <c r="F526" s="3"/>
      <c r="G526" s="5"/>
      <c r="H526" s="5"/>
      <c r="I526" s="5" t="str">
        <f t="shared" si="4"/>
        <v/>
      </c>
      <c r="J526" s="6" t="str">
        <f t="shared" si="2"/>
        <v/>
      </c>
      <c r="K526" s="6" t="str">
        <f t="shared" si="3"/>
        <v/>
      </c>
    </row>
    <row r="527">
      <c r="A527" s="5"/>
      <c r="B527" s="5"/>
      <c r="C527" s="5"/>
      <c r="D527" s="5"/>
      <c r="E527" s="5"/>
      <c r="F527" s="3"/>
      <c r="G527" s="5"/>
      <c r="H527" s="5"/>
      <c r="I527" s="5" t="str">
        <f t="shared" si="4"/>
        <v/>
      </c>
      <c r="J527" s="6" t="str">
        <f t="shared" si="2"/>
        <v/>
      </c>
      <c r="K527" s="6" t="str">
        <f t="shared" si="3"/>
        <v/>
      </c>
    </row>
    <row r="528">
      <c r="A528" s="5"/>
      <c r="B528" s="5"/>
      <c r="C528" s="5"/>
      <c r="D528" s="5"/>
      <c r="E528" s="5"/>
      <c r="F528" s="3"/>
      <c r="G528" s="5"/>
      <c r="H528" s="5"/>
      <c r="I528" s="5" t="str">
        <f t="shared" si="4"/>
        <v/>
      </c>
      <c r="J528" s="6" t="str">
        <f t="shared" si="2"/>
        <v/>
      </c>
      <c r="K528" s="6" t="str">
        <f t="shared" si="3"/>
        <v/>
      </c>
    </row>
    <row r="529">
      <c r="A529" s="5"/>
      <c r="B529" s="5"/>
      <c r="C529" s="5"/>
      <c r="D529" s="5"/>
      <c r="E529" s="5"/>
      <c r="F529" s="3"/>
      <c r="G529" s="5"/>
      <c r="H529" s="5"/>
      <c r="I529" s="5" t="str">
        <f t="shared" si="4"/>
        <v/>
      </c>
      <c r="J529" s="6" t="str">
        <f t="shared" si="2"/>
        <v/>
      </c>
      <c r="K529" s="6" t="str">
        <f t="shared" si="3"/>
        <v/>
      </c>
    </row>
    <row r="530">
      <c r="A530" s="5"/>
      <c r="B530" s="5"/>
      <c r="C530" s="5"/>
      <c r="D530" s="5"/>
      <c r="E530" s="5"/>
      <c r="F530" s="3"/>
      <c r="G530" s="5"/>
      <c r="H530" s="5"/>
      <c r="I530" s="5" t="str">
        <f t="shared" si="4"/>
        <v/>
      </c>
      <c r="J530" s="6" t="str">
        <f t="shared" si="2"/>
        <v/>
      </c>
      <c r="K530" s="6" t="str">
        <f t="shared" si="3"/>
        <v/>
      </c>
    </row>
    <row r="531">
      <c r="A531" s="5"/>
      <c r="B531" s="5"/>
      <c r="C531" s="5"/>
      <c r="D531" s="5"/>
      <c r="E531" s="5"/>
      <c r="F531" s="3"/>
      <c r="G531" s="5"/>
      <c r="H531" s="5"/>
      <c r="I531" s="5" t="str">
        <f t="shared" si="4"/>
        <v/>
      </c>
      <c r="J531" s="6" t="str">
        <f t="shared" si="2"/>
        <v/>
      </c>
      <c r="K531" s="6" t="str">
        <f t="shared" si="3"/>
        <v/>
      </c>
    </row>
    <row r="532">
      <c r="A532" s="5"/>
      <c r="B532" s="5"/>
      <c r="C532" s="5"/>
      <c r="D532" s="5"/>
      <c r="E532" s="5"/>
      <c r="F532" s="3"/>
      <c r="G532" s="5"/>
      <c r="H532" s="5"/>
      <c r="I532" s="5" t="str">
        <f t="shared" si="4"/>
        <v/>
      </c>
      <c r="J532" s="6" t="str">
        <f t="shared" si="2"/>
        <v/>
      </c>
      <c r="K532" s="6" t="str">
        <f t="shared" si="3"/>
        <v/>
      </c>
    </row>
    <row r="533">
      <c r="A533" s="5"/>
      <c r="B533" s="5"/>
      <c r="C533" s="5"/>
      <c r="D533" s="5"/>
      <c r="E533" s="5"/>
      <c r="F533" s="3"/>
      <c r="G533" s="5"/>
      <c r="H533" s="5"/>
      <c r="I533" s="5" t="str">
        <f t="shared" si="4"/>
        <v/>
      </c>
      <c r="J533" s="6" t="str">
        <f t="shared" si="2"/>
        <v/>
      </c>
      <c r="K533" s="6" t="str">
        <f t="shared" si="3"/>
        <v/>
      </c>
    </row>
    <row r="534">
      <c r="A534" s="5"/>
      <c r="B534" s="5"/>
      <c r="C534" s="5"/>
      <c r="D534" s="5"/>
      <c r="E534" s="5"/>
      <c r="F534" s="3"/>
      <c r="G534" s="5"/>
      <c r="H534" s="5"/>
      <c r="I534" s="5" t="str">
        <f t="shared" si="4"/>
        <v/>
      </c>
      <c r="J534" s="6" t="str">
        <f t="shared" si="2"/>
        <v/>
      </c>
      <c r="K534" s="6" t="str">
        <f t="shared" si="3"/>
        <v/>
      </c>
    </row>
    <row r="535">
      <c r="A535" s="5"/>
      <c r="B535" s="5"/>
      <c r="C535" s="5"/>
      <c r="D535" s="5"/>
      <c r="E535" s="5"/>
      <c r="F535" s="3"/>
      <c r="G535" s="5"/>
      <c r="H535" s="5"/>
      <c r="I535" s="5" t="str">
        <f t="shared" si="4"/>
        <v/>
      </c>
      <c r="J535" s="6" t="str">
        <f t="shared" si="2"/>
        <v/>
      </c>
      <c r="K535" s="6" t="str">
        <f t="shared" si="3"/>
        <v/>
      </c>
    </row>
    <row r="536">
      <c r="A536" s="5"/>
      <c r="B536" s="5"/>
      <c r="C536" s="5"/>
      <c r="D536" s="5"/>
      <c r="E536" s="5"/>
      <c r="F536" s="3"/>
      <c r="G536" s="5"/>
      <c r="H536" s="5"/>
      <c r="I536" s="5" t="str">
        <f t="shared" si="4"/>
        <v/>
      </c>
      <c r="J536" s="6" t="str">
        <f t="shared" si="2"/>
        <v/>
      </c>
      <c r="K536" s="6" t="str">
        <f t="shared" si="3"/>
        <v/>
      </c>
    </row>
    <row r="537">
      <c r="A537" s="5"/>
      <c r="B537" s="5"/>
      <c r="C537" s="5"/>
      <c r="D537" s="5"/>
      <c r="E537" s="5"/>
      <c r="F537" s="3"/>
      <c r="G537" s="5"/>
      <c r="H537" s="5"/>
      <c r="I537" s="5" t="str">
        <f t="shared" si="4"/>
        <v/>
      </c>
      <c r="J537" s="6" t="str">
        <f t="shared" si="2"/>
        <v/>
      </c>
      <c r="K537" s="6" t="str">
        <f t="shared" si="3"/>
        <v/>
      </c>
    </row>
    <row r="538">
      <c r="A538" s="5"/>
      <c r="B538" s="5"/>
      <c r="C538" s="5"/>
      <c r="D538" s="5"/>
      <c r="E538" s="5"/>
      <c r="F538" s="3"/>
      <c r="G538" s="5"/>
      <c r="H538" s="5"/>
      <c r="I538" s="5" t="str">
        <f t="shared" si="4"/>
        <v/>
      </c>
      <c r="J538" s="6" t="str">
        <f t="shared" si="2"/>
        <v/>
      </c>
      <c r="K538" s="6" t="str">
        <f t="shared" si="3"/>
        <v/>
      </c>
    </row>
    <row r="539">
      <c r="A539" s="5"/>
      <c r="B539" s="5"/>
      <c r="C539" s="5"/>
      <c r="D539" s="5"/>
      <c r="E539" s="5"/>
      <c r="F539" s="3"/>
      <c r="G539" s="5"/>
      <c r="H539" s="5"/>
      <c r="I539" s="5" t="str">
        <f t="shared" si="4"/>
        <v/>
      </c>
      <c r="J539" s="6" t="str">
        <f t="shared" si="2"/>
        <v/>
      </c>
      <c r="K539" s="6" t="str">
        <f t="shared" si="3"/>
        <v/>
      </c>
    </row>
    <row r="540">
      <c r="A540" s="5"/>
      <c r="B540" s="5"/>
      <c r="C540" s="5"/>
      <c r="D540" s="5"/>
      <c r="E540" s="5"/>
      <c r="F540" s="3"/>
      <c r="G540" s="5"/>
      <c r="H540" s="5"/>
      <c r="I540" s="5" t="str">
        <f t="shared" si="4"/>
        <v/>
      </c>
      <c r="J540" s="6" t="str">
        <f t="shared" si="2"/>
        <v/>
      </c>
      <c r="K540" s="6" t="str">
        <f t="shared" si="3"/>
        <v/>
      </c>
    </row>
    <row r="541">
      <c r="A541" s="5"/>
      <c r="B541" s="5"/>
      <c r="C541" s="5"/>
      <c r="D541" s="5"/>
      <c r="E541" s="5"/>
      <c r="F541" s="3"/>
      <c r="G541" s="5"/>
      <c r="H541" s="5"/>
      <c r="I541" s="5" t="str">
        <f t="shared" si="4"/>
        <v/>
      </c>
      <c r="J541" s="6" t="str">
        <f t="shared" si="2"/>
        <v/>
      </c>
      <c r="K541" s="6" t="str">
        <f t="shared" si="3"/>
        <v/>
      </c>
    </row>
    <row r="542">
      <c r="A542" s="5"/>
      <c r="B542" s="5"/>
      <c r="C542" s="5"/>
      <c r="D542" s="5"/>
      <c r="E542" s="5"/>
      <c r="F542" s="3"/>
      <c r="G542" s="5"/>
      <c r="H542" s="5"/>
      <c r="I542" s="5" t="str">
        <f t="shared" si="4"/>
        <v/>
      </c>
      <c r="J542" s="6" t="str">
        <f t="shared" si="2"/>
        <v/>
      </c>
      <c r="K542" s="6" t="str">
        <f t="shared" si="3"/>
        <v/>
      </c>
    </row>
    <row r="543">
      <c r="A543" s="5"/>
      <c r="B543" s="5"/>
      <c r="C543" s="5"/>
      <c r="D543" s="5"/>
      <c r="E543" s="5"/>
      <c r="F543" s="3"/>
      <c r="G543" s="5"/>
      <c r="H543" s="5"/>
      <c r="I543" s="5" t="str">
        <f t="shared" si="4"/>
        <v/>
      </c>
      <c r="J543" s="6" t="str">
        <f t="shared" si="2"/>
        <v/>
      </c>
      <c r="K543" s="6" t="str">
        <f t="shared" si="3"/>
        <v/>
      </c>
    </row>
    <row r="544">
      <c r="A544" s="5"/>
      <c r="B544" s="5"/>
      <c r="C544" s="5"/>
      <c r="D544" s="5"/>
      <c r="E544" s="5"/>
      <c r="F544" s="3"/>
      <c r="G544" s="5"/>
      <c r="H544" s="5"/>
      <c r="I544" s="5" t="str">
        <f t="shared" si="4"/>
        <v/>
      </c>
      <c r="J544" s="6" t="str">
        <f t="shared" si="2"/>
        <v/>
      </c>
      <c r="K544" s="6" t="str">
        <f t="shared" si="3"/>
        <v/>
      </c>
    </row>
    <row r="545">
      <c r="A545" s="5"/>
      <c r="B545" s="5"/>
      <c r="C545" s="5"/>
      <c r="D545" s="5"/>
      <c r="E545" s="5"/>
      <c r="F545" s="3"/>
      <c r="G545" s="5"/>
      <c r="H545" s="5"/>
      <c r="I545" s="5" t="str">
        <f t="shared" si="4"/>
        <v/>
      </c>
      <c r="J545" s="6" t="str">
        <f t="shared" si="2"/>
        <v/>
      </c>
      <c r="K545" s="6" t="str">
        <f t="shared" si="3"/>
        <v/>
      </c>
    </row>
    <row r="546">
      <c r="A546" s="5"/>
      <c r="B546" s="5"/>
      <c r="C546" s="5"/>
      <c r="D546" s="5"/>
      <c r="E546" s="5"/>
      <c r="F546" s="3"/>
      <c r="G546" s="5"/>
      <c r="H546" s="5"/>
      <c r="I546" s="5" t="str">
        <f t="shared" si="4"/>
        <v/>
      </c>
      <c r="J546" s="6" t="str">
        <f t="shared" si="2"/>
        <v/>
      </c>
      <c r="K546" s="6" t="str">
        <f t="shared" si="3"/>
        <v/>
      </c>
    </row>
    <row r="547">
      <c r="A547" s="5"/>
      <c r="B547" s="5"/>
      <c r="C547" s="5"/>
      <c r="D547" s="5"/>
      <c r="E547" s="5"/>
      <c r="F547" s="3"/>
      <c r="G547" s="5"/>
      <c r="H547" s="5"/>
      <c r="I547" s="5" t="str">
        <f t="shared" si="4"/>
        <v/>
      </c>
      <c r="J547" s="6" t="str">
        <f t="shared" si="2"/>
        <v/>
      </c>
      <c r="K547" s="6" t="str">
        <f t="shared" si="3"/>
        <v/>
      </c>
    </row>
    <row r="548">
      <c r="A548" s="5"/>
      <c r="B548" s="5"/>
      <c r="C548" s="5"/>
      <c r="D548" s="5"/>
      <c r="E548" s="5"/>
      <c r="F548" s="3"/>
      <c r="G548" s="5"/>
      <c r="H548" s="5"/>
      <c r="I548" s="5" t="str">
        <f t="shared" si="4"/>
        <v/>
      </c>
      <c r="J548" s="6" t="str">
        <f t="shared" si="2"/>
        <v/>
      </c>
      <c r="K548" s="6" t="str">
        <f t="shared" si="3"/>
        <v/>
      </c>
    </row>
    <row r="549">
      <c r="A549" s="5"/>
      <c r="B549" s="5"/>
      <c r="C549" s="5"/>
      <c r="D549" s="5"/>
      <c r="E549" s="5"/>
      <c r="F549" s="3"/>
      <c r="G549" s="5"/>
      <c r="H549" s="5"/>
      <c r="I549" s="5" t="str">
        <f t="shared" si="4"/>
        <v/>
      </c>
      <c r="J549" s="6" t="str">
        <f t="shared" si="2"/>
        <v/>
      </c>
      <c r="K549" s="6" t="str">
        <f t="shared" si="3"/>
        <v/>
      </c>
    </row>
    <row r="550">
      <c r="A550" s="5"/>
      <c r="B550" s="5"/>
      <c r="C550" s="5"/>
      <c r="D550" s="5"/>
      <c r="E550" s="5"/>
      <c r="F550" s="3"/>
      <c r="G550" s="5"/>
      <c r="H550" s="5"/>
      <c r="I550" s="5" t="str">
        <f t="shared" si="4"/>
        <v/>
      </c>
      <c r="J550" s="6" t="str">
        <f t="shared" si="2"/>
        <v/>
      </c>
      <c r="K550" s="6" t="str">
        <f t="shared" si="3"/>
        <v/>
      </c>
    </row>
    <row r="551">
      <c r="A551" s="5"/>
      <c r="B551" s="5"/>
      <c r="C551" s="5"/>
      <c r="D551" s="5"/>
      <c r="E551" s="5"/>
      <c r="F551" s="3"/>
      <c r="G551" s="5"/>
      <c r="H551" s="5"/>
      <c r="I551" s="5" t="str">
        <f t="shared" si="4"/>
        <v/>
      </c>
      <c r="J551" s="6" t="str">
        <f t="shared" si="2"/>
        <v/>
      </c>
      <c r="K551" s="6" t="str">
        <f t="shared" si="3"/>
        <v/>
      </c>
    </row>
    <row r="552">
      <c r="A552" s="5"/>
      <c r="B552" s="5"/>
      <c r="C552" s="5"/>
      <c r="D552" s="5"/>
      <c r="E552" s="5"/>
      <c r="F552" s="3"/>
      <c r="G552" s="5"/>
      <c r="H552" s="5"/>
      <c r="I552" s="5" t="str">
        <f t="shared" si="4"/>
        <v/>
      </c>
      <c r="J552" s="6" t="str">
        <f t="shared" si="2"/>
        <v/>
      </c>
      <c r="K552" s="6" t="str">
        <f t="shared" si="3"/>
        <v/>
      </c>
    </row>
    <row r="553">
      <c r="A553" s="5"/>
      <c r="B553" s="5"/>
      <c r="C553" s="5"/>
      <c r="D553" s="5"/>
      <c r="E553" s="5"/>
      <c r="F553" s="3"/>
      <c r="G553" s="5"/>
      <c r="H553" s="5"/>
      <c r="I553" s="5" t="str">
        <f t="shared" si="4"/>
        <v/>
      </c>
      <c r="J553" s="6" t="str">
        <f t="shared" si="2"/>
        <v/>
      </c>
      <c r="K553" s="6" t="str">
        <f t="shared" si="3"/>
        <v/>
      </c>
    </row>
    <row r="554">
      <c r="A554" s="5"/>
      <c r="B554" s="5"/>
      <c r="C554" s="5"/>
      <c r="D554" s="5"/>
      <c r="E554" s="5"/>
      <c r="F554" s="3"/>
      <c r="G554" s="5"/>
      <c r="H554" s="5"/>
      <c r="I554" s="5" t="str">
        <f t="shared" si="4"/>
        <v/>
      </c>
      <c r="J554" s="6" t="str">
        <f t="shared" si="2"/>
        <v/>
      </c>
      <c r="K554" s="6" t="str">
        <f t="shared" si="3"/>
        <v/>
      </c>
    </row>
    <row r="555">
      <c r="A555" s="5"/>
      <c r="B555" s="5"/>
      <c r="C555" s="5"/>
      <c r="D555" s="5"/>
      <c r="E555" s="5"/>
      <c r="F555" s="3"/>
      <c r="G555" s="5"/>
      <c r="H555" s="5"/>
      <c r="I555" s="5" t="str">
        <f t="shared" si="4"/>
        <v/>
      </c>
      <c r="J555" s="6" t="str">
        <f t="shared" si="2"/>
        <v/>
      </c>
      <c r="K555" s="6" t="str">
        <f t="shared" si="3"/>
        <v/>
      </c>
    </row>
    <row r="556">
      <c r="A556" s="5"/>
      <c r="B556" s="5"/>
      <c r="C556" s="5"/>
      <c r="D556" s="5"/>
      <c r="E556" s="5"/>
      <c r="F556" s="3"/>
      <c r="G556" s="5"/>
      <c r="H556" s="5"/>
      <c r="I556" s="5" t="str">
        <f t="shared" si="4"/>
        <v/>
      </c>
      <c r="J556" s="6" t="str">
        <f t="shared" si="2"/>
        <v/>
      </c>
      <c r="K556" s="6" t="str">
        <f t="shared" si="3"/>
        <v/>
      </c>
    </row>
    <row r="557">
      <c r="A557" s="5"/>
      <c r="B557" s="5"/>
      <c r="C557" s="5"/>
      <c r="D557" s="5"/>
      <c r="E557" s="5"/>
      <c r="F557" s="3"/>
      <c r="G557" s="5"/>
      <c r="H557" s="5"/>
      <c r="I557" s="5" t="str">
        <f t="shared" si="4"/>
        <v/>
      </c>
      <c r="J557" s="6" t="str">
        <f t="shared" si="2"/>
        <v/>
      </c>
      <c r="K557" s="6" t="str">
        <f t="shared" si="3"/>
        <v/>
      </c>
    </row>
    <row r="558">
      <c r="A558" s="5"/>
      <c r="B558" s="5"/>
      <c r="C558" s="5"/>
      <c r="D558" s="5"/>
      <c r="E558" s="5"/>
      <c r="F558" s="3"/>
      <c r="G558" s="5"/>
      <c r="H558" s="5"/>
      <c r="I558" s="5" t="str">
        <f t="shared" si="4"/>
        <v/>
      </c>
      <c r="J558" s="6" t="str">
        <f t="shared" si="2"/>
        <v/>
      </c>
      <c r="K558" s="6" t="str">
        <f t="shared" si="3"/>
        <v/>
      </c>
    </row>
    <row r="559">
      <c r="A559" s="5"/>
      <c r="B559" s="5"/>
      <c r="C559" s="5"/>
      <c r="D559" s="5"/>
      <c r="E559" s="5"/>
      <c r="F559" s="3"/>
      <c r="G559" s="5"/>
      <c r="H559" s="5"/>
      <c r="I559" s="5" t="str">
        <f t="shared" si="4"/>
        <v/>
      </c>
      <c r="J559" s="6" t="str">
        <f t="shared" si="2"/>
        <v/>
      </c>
      <c r="K559" s="6" t="str">
        <f t="shared" si="3"/>
        <v/>
      </c>
    </row>
    <row r="560">
      <c r="A560" s="5"/>
      <c r="B560" s="5"/>
      <c r="C560" s="5"/>
      <c r="D560" s="5"/>
      <c r="E560" s="5"/>
      <c r="F560" s="3"/>
      <c r="G560" s="5"/>
      <c r="H560" s="5"/>
      <c r="I560" s="5" t="str">
        <f t="shared" si="4"/>
        <v/>
      </c>
      <c r="J560" s="6" t="str">
        <f t="shared" si="2"/>
        <v/>
      </c>
      <c r="K560" s="6" t="str">
        <f t="shared" si="3"/>
        <v/>
      </c>
    </row>
    <row r="561">
      <c r="A561" s="5"/>
      <c r="B561" s="5"/>
      <c r="C561" s="5"/>
      <c r="D561" s="5"/>
      <c r="E561" s="5"/>
      <c r="F561" s="3"/>
      <c r="G561" s="5"/>
      <c r="H561" s="5"/>
      <c r="I561" s="5" t="str">
        <f t="shared" si="4"/>
        <v/>
      </c>
      <c r="J561" s="6" t="str">
        <f t="shared" si="2"/>
        <v/>
      </c>
      <c r="K561" s="6" t="str">
        <f t="shared" si="3"/>
        <v/>
      </c>
    </row>
    <row r="562">
      <c r="A562" s="5"/>
      <c r="B562" s="5"/>
      <c r="C562" s="5"/>
      <c r="D562" s="5"/>
      <c r="E562" s="5"/>
      <c r="F562" s="3"/>
      <c r="G562" s="5"/>
      <c r="H562" s="5"/>
      <c r="I562" s="5" t="str">
        <f t="shared" si="4"/>
        <v/>
      </c>
      <c r="J562" s="6" t="str">
        <f t="shared" si="2"/>
        <v/>
      </c>
      <c r="K562" s="6" t="str">
        <f t="shared" si="3"/>
        <v/>
      </c>
    </row>
    <row r="563">
      <c r="A563" s="5"/>
      <c r="B563" s="5"/>
      <c r="C563" s="5"/>
      <c r="D563" s="5"/>
      <c r="E563" s="5"/>
      <c r="F563" s="3"/>
      <c r="G563" s="5"/>
      <c r="H563" s="5"/>
      <c r="I563" s="5" t="str">
        <f t="shared" si="4"/>
        <v/>
      </c>
      <c r="J563" s="6" t="str">
        <f t="shared" si="2"/>
        <v/>
      </c>
      <c r="K563" s="6" t="str">
        <f t="shared" si="3"/>
        <v/>
      </c>
    </row>
    <row r="564">
      <c r="A564" s="5"/>
      <c r="B564" s="5"/>
      <c r="C564" s="5"/>
      <c r="D564" s="5"/>
      <c r="E564" s="5"/>
      <c r="F564" s="3"/>
      <c r="G564" s="5"/>
      <c r="H564" s="5"/>
      <c r="I564" s="5" t="str">
        <f t="shared" si="4"/>
        <v/>
      </c>
      <c r="J564" s="6" t="str">
        <f t="shared" si="2"/>
        <v/>
      </c>
      <c r="K564" s="6" t="str">
        <f t="shared" si="3"/>
        <v/>
      </c>
    </row>
    <row r="565">
      <c r="A565" s="5"/>
      <c r="B565" s="5"/>
      <c r="C565" s="5"/>
      <c r="D565" s="5"/>
      <c r="E565" s="5"/>
      <c r="F565" s="3"/>
      <c r="G565" s="5"/>
      <c r="H565" s="5"/>
      <c r="I565" s="5" t="str">
        <f t="shared" si="4"/>
        <v/>
      </c>
      <c r="J565" s="6" t="str">
        <f t="shared" si="2"/>
        <v/>
      </c>
      <c r="K565" s="6" t="str">
        <f t="shared" si="3"/>
        <v/>
      </c>
    </row>
    <row r="566">
      <c r="A566" s="5"/>
      <c r="B566" s="5"/>
      <c r="C566" s="5"/>
      <c r="D566" s="5"/>
      <c r="E566" s="5"/>
      <c r="F566" s="3"/>
      <c r="G566" s="5"/>
      <c r="H566" s="5"/>
      <c r="I566" s="5" t="str">
        <f t="shared" si="4"/>
        <v/>
      </c>
      <c r="J566" s="6" t="str">
        <f t="shared" si="2"/>
        <v/>
      </c>
      <c r="K566" s="6" t="str">
        <f t="shared" si="3"/>
        <v/>
      </c>
    </row>
    <row r="567">
      <c r="A567" s="5"/>
      <c r="B567" s="5"/>
      <c r="C567" s="5"/>
      <c r="D567" s="5"/>
      <c r="E567" s="5"/>
      <c r="F567" s="3"/>
      <c r="G567" s="5"/>
      <c r="H567" s="5"/>
      <c r="I567" s="5" t="str">
        <f t="shared" si="4"/>
        <v/>
      </c>
      <c r="J567" s="6" t="str">
        <f t="shared" si="2"/>
        <v/>
      </c>
      <c r="K567" s="6" t="str">
        <f t="shared" si="3"/>
        <v/>
      </c>
    </row>
    <row r="568">
      <c r="A568" s="5"/>
      <c r="B568" s="5"/>
      <c r="C568" s="5"/>
      <c r="D568" s="5"/>
      <c r="E568" s="5"/>
      <c r="F568" s="3"/>
      <c r="G568" s="5"/>
      <c r="H568" s="5"/>
      <c r="I568" s="5" t="str">
        <f t="shared" si="4"/>
        <v/>
      </c>
      <c r="J568" s="6" t="str">
        <f t="shared" si="2"/>
        <v/>
      </c>
      <c r="K568" s="6" t="str">
        <f t="shared" si="3"/>
        <v/>
      </c>
    </row>
    <row r="569">
      <c r="A569" s="5"/>
      <c r="B569" s="5"/>
      <c r="C569" s="5"/>
      <c r="D569" s="5"/>
      <c r="E569" s="5"/>
      <c r="F569" s="3"/>
      <c r="G569" s="5"/>
      <c r="H569" s="5"/>
      <c r="I569" s="5" t="str">
        <f t="shared" si="4"/>
        <v/>
      </c>
      <c r="J569" s="6" t="str">
        <f t="shared" si="2"/>
        <v/>
      </c>
      <c r="K569" s="6" t="str">
        <f t="shared" si="3"/>
        <v/>
      </c>
    </row>
    <row r="570">
      <c r="A570" s="5"/>
      <c r="B570" s="5"/>
      <c r="C570" s="5"/>
      <c r="D570" s="5"/>
      <c r="E570" s="5"/>
      <c r="F570" s="3"/>
      <c r="G570" s="5"/>
      <c r="H570" s="5"/>
      <c r="I570" s="5" t="str">
        <f t="shared" si="4"/>
        <v/>
      </c>
      <c r="J570" s="6" t="str">
        <f t="shared" si="2"/>
        <v/>
      </c>
      <c r="K570" s="6" t="str">
        <f t="shared" si="3"/>
        <v/>
      </c>
    </row>
    <row r="571">
      <c r="A571" s="5"/>
      <c r="B571" s="5"/>
      <c r="C571" s="5"/>
      <c r="D571" s="5"/>
      <c r="E571" s="5"/>
      <c r="F571" s="3"/>
      <c r="G571" s="5"/>
      <c r="H571" s="5"/>
      <c r="I571" s="5" t="str">
        <f t="shared" si="4"/>
        <v/>
      </c>
      <c r="J571" s="6" t="str">
        <f t="shared" si="2"/>
        <v/>
      </c>
      <c r="K571" s="6" t="str">
        <f t="shared" si="3"/>
        <v/>
      </c>
    </row>
    <row r="572">
      <c r="A572" s="5"/>
      <c r="B572" s="5"/>
      <c r="C572" s="5"/>
      <c r="D572" s="5"/>
      <c r="E572" s="5"/>
      <c r="F572" s="3"/>
      <c r="G572" s="5"/>
      <c r="H572" s="5"/>
      <c r="I572" s="5" t="str">
        <f t="shared" si="4"/>
        <v/>
      </c>
      <c r="J572" s="6" t="str">
        <f t="shared" si="2"/>
        <v/>
      </c>
      <c r="K572" s="6" t="str">
        <f t="shared" si="3"/>
        <v/>
      </c>
    </row>
    <row r="573">
      <c r="A573" s="5"/>
      <c r="B573" s="5"/>
      <c r="C573" s="5"/>
      <c r="D573" s="5"/>
      <c r="E573" s="5"/>
      <c r="F573" s="3"/>
      <c r="G573" s="5"/>
      <c r="H573" s="5"/>
      <c r="I573" s="5" t="str">
        <f t="shared" si="4"/>
        <v/>
      </c>
      <c r="J573" s="6" t="str">
        <f t="shared" si="2"/>
        <v/>
      </c>
      <c r="K573" s="6" t="str">
        <f t="shared" si="3"/>
        <v/>
      </c>
    </row>
    <row r="574">
      <c r="A574" s="5"/>
      <c r="B574" s="5"/>
      <c r="C574" s="5"/>
      <c r="D574" s="5"/>
      <c r="E574" s="5"/>
      <c r="F574" s="3"/>
      <c r="G574" s="5"/>
      <c r="H574" s="5"/>
      <c r="I574" s="5" t="str">
        <f t="shared" si="4"/>
        <v/>
      </c>
      <c r="J574" s="6" t="str">
        <f t="shared" si="2"/>
        <v/>
      </c>
      <c r="K574" s="6" t="str">
        <f t="shared" si="3"/>
        <v/>
      </c>
    </row>
    <row r="575">
      <c r="A575" s="5"/>
      <c r="B575" s="5"/>
      <c r="C575" s="5"/>
      <c r="D575" s="5"/>
      <c r="E575" s="5"/>
      <c r="F575" s="3"/>
      <c r="G575" s="5"/>
      <c r="H575" s="5"/>
      <c r="I575" s="5" t="str">
        <f t="shared" si="4"/>
        <v/>
      </c>
      <c r="J575" s="6" t="str">
        <f t="shared" si="2"/>
        <v/>
      </c>
      <c r="K575" s="6" t="str">
        <f t="shared" si="3"/>
        <v/>
      </c>
    </row>
    <row r="576">
      <c r="A576" s="5"/>
      <c r="B576" s="5"/>
      <c r="C576" s="5"/>
      <c r="D576" s="5"/>
      <c r="E576" s="5"/>
      <c r="F576" s="3"/>
      <c r="G576" s="5"/>
      <c r="H576" s="5"/>
      <c r="I576" s="5" t="str">
        <f t="shared" si="4"/>
        <v/>
      </c>
      <c r="J576" s="6" t="str">
        <f t="shared" si="2"/>
        <v/>
      </c>
      <c r="K576" s="6" t="str">
        <f t="shared" si="3"/>
        <v/>
      </c>
    </row>
    <row r="577">
      <c r="A577" s="5"/>
      <c r="B577" s="5"/>
      <c r="C577" s="5"/>
      <c r="D577" s="5"/>
      <c r="E577" s="5"/>
      <c r="F577" s="3"/>
      <c r="G577" s="5"/>
      <c r="H577" s="5"/>
      <c r="I577" s="5" t="str">
        <f t="shared" si="4"/>
        <v/>
      </c>
      <c r="J577" s="6" t="str">
        <f t="shared" si="2"/>
        <v/>
      </c>
      <c r="K577" s="6" t="str">
        <f t="shared" si="3"/>
        <v/>
      </c>
    </row>
    <row r="578">
      <c r="A578" s="5"/>
      <c r="B578" s="5"/>
      <c r="C578" s="5"/>
      <c r="D578" s="5"/>
      <c r="E578" s="5"/>
      <c r="F578" s="3"/>
      <c r="G578" s="5"/>
      <c r="H578" s="5"/>
      <c r="I578" s="5" t="str">
        <f t="shared" si="4"/>
        <v/>
      </c>
      <c r="J578" s="6" t="str">
        <f t="shared" si="2"/>
        <v/>
      </c>
      <c r="K578" s="6" t="str">
        <f t="shared" si="3"/>
        <v/>
      </c>
    </row>
    <row r="579">
      <c r="A579" s="5"/>
      <c r="B579" s="5"/>
      <c r="C579" s="5"/>
      <c r="D579" s="5"/>
      <c r="E579" s="5"/>
      <c r="F579" s="3"/>
      <c r="G579" s="5"/>
      <c r="H579" s="5"/>
      <c r="I579" s="5" t="str">
        <f t="shared" si="4"/>
        <v/>
      </c>
      <c r="J579" s="6" t="str">
        <f t="shared" si="2"/>
        <v/>
      </c>
      <c r="K579" s="6" t="str">
        <f t="shared" si="3"/>
        <v/>
      </c>
    </row>
    <row r="580">
      <c r="A580" s="5"/>
      <c r="B580" s="5"/>
      <c r="C580" s="5"/>
      <c r="D580" s="5"/>
      <c r="E580" s="5"/>
      <c r="F580" s="3"/>
      <c r="G580" s="5"/>
      <c r="H580" s="5"/>
      <c r="I580" s="5" t="str">
        <f t="shared" si="4"/>
        <v/>
      </c>
      <c r="J580" s="6" t="str">
        <f t="shared" si="2"/>
        <v/>
      </c>
      <c r="K580" s="6" t="str">
        <f t="shared" si="3"/>
        <v/>
      </c>
    </row>
    <row r="581">
      <c r="A581" s="5"/>
      <c r="B581" s="5"/>
      <c r="C581" s="5"/>
      <c r="D581" s="5"/>
      <c r="E581" s="5"/>
      <c r="F581" s="3"/>
      <c r="G581" s="5"/>
      <c r="H581" s="5"/>
      <c r="I581" s="5" t="str">
        <f t="shared" si="4"/>
        <v/>
      </c>
      <c r="J581" s="6" t="str">
        <f t="shared" si="2"/>
        <v/>
      </c>
      <c r="K581" s="6" t="str">
        <f t="shared" si="3"/>
        <v/>
      </c>
    </row>
    <row r="582">
      <c r="A582" s="5"/>
      <c r="B582" s="5"/>
      <c r="C582" s="5"/>
      <c r="D582" s="5"/>
      <c r="E582" s="5"/>
      <c r="F582" s="3"/>
      <c r="G582" s="5"/>
      <c r="H582" s="5"/>
      <c r="I582" s="5" t="str">
        <f t="shared" si="4"/>
        <v/>
      </c>
      <c r="J582" s="6" t="str">
        <f t="shared" si="2"/>
        <v/>
      </c>
      <c r="K582" s="6" t="str">
        <f t="shared" si="3"/>
        <v/>
      </c>
    </row>
    <row r="583">
      <c r="A583" s="5"/>
      <c r="B583" s="5"/>
      <c r="C583" s="5"/>
      <c r="D583" s="5"/>
      <c r="E583" s="5"/>
      <c r="F583" s="3"/>
      <c r="G583" s="5"/>
      <c r="H583" s="5"/>
      <c r="I583" s="5" t="str">
        <f t="shared" si="4"/>
        <v/>
      </c>
      <c r="J583" s="6" t="str">
        <f t="shared" si="2"/>
        <v/>
      </c>
      <c r="K583" s="6" t="str">
        <f t="shared" si="3"/>
        <v/>
      </c>
    </row>
    <row r="584">
      <c r="A584" s="5"/>
      <c r="B584" s="5"/>
      <c r="C584" s="5"/>
      <c r="D584" s="5"/>
      <c r="E584" s="5"/>
      <c r="F584" s="3"/>
      <c r="G584" s="5"/>
      <c r="H584" s="5"/>
      <c r="I584" s="5" t="str">
        <f t="shared" si="4"/>
        <v/>
      </c>
      <c r="J584" s="6" t="str">
        <f t="shared" si="2"/>
        <v/>
      </c>
      <c r="K584" s="6" t="str">
        <f t="shared" si="3"/>
        <v/>
      </c>
    </row>
    <row r="585">
      <c r="A585" s="5"/>
      <c r="B585" s="5"/>
      <c r="C585" s="5"/>
      <c r="D585" s="5"/>
      <c r="E585" s="5"/>
      <c r="F585" s="3"/>
      <c r="G585" s="5"/>
      <c r="H585" s="5"/>
      <c r="I585" s="5" t="str">
        <f t="shared" si="4"/>
        <v/>
      </c>
      <c r="J585" s="6" t="str">
        <f t="shared" si="2"/>
        <v/>
      </c>
      <c r="K585" s="6" t="str">
        <f t="shared" si="3"/>
        <v/>
      </c>
    </row>
    <row r="586">
      <c r="A586" s="5"/>
      <c r="B586" s="5"/>
      <c r="C586" s="5"/>
      <c r="D586" s="5"/>
      <c r="E586" s="5"/>
      <c r="F586" s="3"/>
      <c r="G586" s="5"/>
      <c r="H586" s="5"/>
      <c r="I586" s="5" t="str">
        <f t="shared" si="4"/>
        <v/>
      </c>
      <c r="J586" s="6" t="str">
        <f t="shared" si="2"/>
        <v/>
      </c>
      <c r="K586" s="6" t="str">
        <f t="shared" si="3"/>
        <v/>
      </c>
    </row>
    <row r="587">
      <c r="A587" s="5"/>
      <c r="B587" s="5"/>
      <c r="C587" s="5"/>
      <c r="D587" s="5"/>
      <c r="E587" s="5"/>
      <c r="F587" s="3"/>
      <c r="G587" s="5"/>
      <c r="H587" s="5"/>
      <c r="I587" s="5" t="str">
        <f t="shared" si="4"/>
        <v/>
      </c>
      <c r="J587" s="6" t="str">
        <f t="shared" si="2"/>
        <v/>
      </c>
      <c r="K587" s="6" t="str">
        <f t="shared" si="3"/>
        <v/>
      </c>
    </row>
    <row r="588">
      <c r="A588" s="5"/>
      <c r="B588" s="5"/>
      <c r="C588" s="5"/>
      <c r="D588" s="5"/>
      <c r="E588" s="5"/>
      <c r="F588" s="3"/>
      <c r="G588" s="5"/>
      <c r="H588" s="5"/>
      <c r="I588" s="5" t="str">
        <f t="shared" si="4"/>
        <v/>
      </c>
      <c r="J588" s="6" t="str">
        <f t="shared" si="2"/>
        <v/>
      </c>
      <c r="K588" s="6" t="str">
        <f t="shared" si="3"/>
        <v/>
      </c>
    </row>
    <row r="589">
      <c r="A589" s="5"/>
      <c r="B589" s="5"/>
      <c r="C589" s="5"/>
      <c r="D589" s="5"/>
      <c r="E589" s="5"/>
      <c r="F589" s="3"/>
      <c r="G589" s="5"/>
      <c r="H589" s="5"/>
      <c r="I589" s="5" t="str">
        <f t="shared" si="4"/>
        <v/>
      </c>
      <c r="J589" s="6" t="str">
        <f t="shared" si="2"/>
        <v/>
      </c>
      <c r="K589" s="6" t="str">
        <f t="shared" si="3"/>
        <v/>
      </c>
    </row>
    <row r="590">
      <c r="A590" s="5"/>
      <c r="B590" s="5"/>
      <c r="C590" s="5"/>
      <c r="D590" s="5"/>
      <c r="E590" s="5"/>
      <c r="F590" s="3"/>
      <c r="G590" s="5"/>
      <c r="H590" s="5"/>
      <c r="I590" s="5" t="str">
        <f t="shared" si="4"/>
        <v/>
      </c>
      <c r="J590" s="6" t="str">
        <f t="shared" si="2"/>
        <v/>
      </c>
      <c r="K590" s="6" t="str">
        <f t="shared" si="3"/>
        <v/>
      </c>
    </row>
    <row r="591">
      <c r="A591" s="5"/>
      <c r="B591" s="5"/>
      <c r="C591" s="5"/>
      <c r="D591" s="5"/>
      <c r="E591" s="5"/>
      <c r="F591" s="3"/>
      <c r="G591" s="5"/>
      <c r="H591" s="5"/>
      <c r="I591" s="5" t="str">
        <f t="shared" si="4"/>
        <v/>
      </c>
      <c r="J591" s="6" t="str">
        <f t="shared" si="2"/>
        <v/>
      </c>
      <c r="K591" s="6" t="str">
        <f t="shared" si="3"/>
        <v/>
      </c>
    </row>
    <row r="592">
      <c r="A592" s="5"/>
      <c r="B592" s="5"/>
      <c r="C592" s="5"/>
      <c r="D592" s="5"/>
      <c r="E592" s="5"/>
      <c r="F592" s="3"/>
      <c r="G592" s="5"/>
      <c r="H592" s="5"/>
      <c r="I592" s="5" t="str">
        <f t="shared" si="4"/>
        <v/>
      </c>
      <c r="J592" s="6" t="str">
        <f t="shared" si="2"/>
        <v/>
      </c>
      <c r="K592" s="6" t="str">
        <f t="shared" si="3"/>
        <v/>
      </c>
    </row>
    <row r="593">
      <c r="A593" s="5"/>
      <c r="B593" s="5"/>
      <c r="C593" s="5"/>
      <c r="D593" s="5"/>
      <c r="E593" s="5"/>
      <c r="F593" s="3"/>
      <c r="G593" s="5"/>
      <c r="H593" s="5"/>
      <c r="I593" s="5" t="str">
        <f t="shared" si="4"/>
        <v/>
      </c>
      <c r="J593" s="6" t="str">
        <f t="shared" si="2"/>
        <v/>
      </c>
      <c r="K593" s="6" t="str">
        <f t="shared" si="3"/>
        <v/>
      </c>
    </row>
    <row r="594">
      <c r="A594" s="5"/>
      <c r="B594" s="5"/>
      <c r="C594" s="5"/>
      <c r="D594" s="5"/>
      <c r="E594" s="5"/>
      <c r="F594" s="3"/>
      <c r="G594" s="5"/>
      <c r="H594" s="5"/>
      <c r="I594" s="5" t="str">
        <f t="shared" si="4"/>
        <v/>
      </c>
      <c r="J594" s="6" t="str">
        <f t="shared" si="2"/>
        <v/>
      </c>
      <c r="K594" s="6" t="str">
        <f t="shared" si="3"/>
        <v/>
      </c>
    </row>
    <row r="595">
      <c r="A595" s="5"/>
      <c r="B595" s="5"/>
      <c r="C595" s="5"/>
      <c r="D595" s="5"/>
      <c r="E595" s="5"/>
      <c r="F595" s="3"/>
      <c r="G595" s="5"/>
      <c r="H595" s="5"/>
      <c r="I595" s="5" t="str">
        <f t="shared" si="4"/>
        <v/>
      </c>
      <c r="J595" s="6" t="str">
        <f t="shared" si="2"/>
        <v/>
      </c>
      <c r="K595" s="6" t="str">
        <f t="shared" si="3"/>
        <v/>
      </c>
    </row>
    <row r="596">
      <c r="A596" s="5"/>
      <c r="B596" s="5"/>
      <c r="C596" s="5"/>
      <c r="D596" s="5"/>
      <c r="E596" s="5"/>
      <c r="F596" s="3"/>
      <c r="G596" s="5"/>
      <c r="H596" s="5"/>
      <c r="I596" s="5" t="str">
        <f t="shared" si="4"/>
        <v/>
      </c>
      <c r="J596" s="6" t="str">
        <f t="shared" si="2"/>
        <v/>
      </c>
      <c r="K596" s="6" t="str">
        <f t="shared" si="3"/>
        <v/>
      </c>
    </row>
    <row r="597">
      <c r="A597" s="5"/>
      <c r="B597" s="5"/>
      <c r="C597" s="5"/>
      <c r="D597" s="5"/>
      <c r="E597" s="5"/>
      <c r="F597" s="3"/>
      <c r="G597" s="5"/>
      <c r="H597" s="5"/>
      <c r="I597" s="5" t="str">
        <f t="shared" si="4"/>
        <v/>
      </c>
      <c r="J597" s="6" t="str">
        <f t="shared" si="2"/>
        <v/>
      </c>
      <c r="K597" s="6" t="str">
        <f t="shared" si="3"/>
        <v/>
      </c>
    </row>
    <row r="598">
      <c r="A598" s="5"/>
      <c r="B598" s="5"/>
      <c r="C598" s="5"/>
      <c r="D598" s="5"/>
      <c r="E598" s="5"/>
      <c r="F598" s="3"/>
      <c r="G598" s="5"/>
      <c r="H598" s="5"/>
      <c r="I598" s="5" t="str">
        <f t="shared" si="4"/>
        <v/>
      </c>
      <c r="J598" s="6" t="str">
        <f t="shared" si="2"/>
        <v/>
      </c>
      <c r="K598" s="6" t="str">
        <f t="shared" si="3"/>
        <v/>
      </c>
    </row>
    <row r="599">
      <c r="A599" s="5"/>
      <c r="B599" s="5"/>
      <c r="C599" s="5"/>
      <c r="D599" s="5"/>
      <c r="E599" s="5"/>
      <c r="F599" s="3"/>
      <c r="G599" s="5"/>
      <c r="H599" s="5"/>
      <c r="I599" s="5" t="str">
        <f t="shared" si="4"/>
        <v/>
      </c>
      <c r="J599" s="6" t="str">
        <f t="shared" si="2"/>
        <v/>
      </c>
      <c r="K599" s="6" t="str">
        <f t="shared" si="3"/>
        <v/>
      </c>
    </row>
    <row r="600">
      <c r="A600" s="5"/>
      <c r="B600" s="5"/>
      <c r="C600" s="5"/>
      <c r="D600" s="5"/>
      <c r="E600" s="5"/>
      <c r="F600" s="3"/>
      <c r="G600" s="5"/>
      <c r="H600" s="5"/>
      <c r="I600" s="5" t="str">
        <f t="shared" si="4"/>
        <v/>
      </c>
      <c r="J600" s="6" t="str">
        <f t="shared" si="2"/>
        <v/>
      </c>
      <c r="K600" s="6" t="str">
        <f t="shared" si="3"/>
        <v/>
      </c>
    </row>
    <row r="601">
      <c r="A601" s="5"/>
      <c r="B601" s="5"/>
      <c r="C601" s="5"/>
      <c r="D601" s="5"/>
      <c r="E601" s="5"/>
      <c r="F601" s="3"/>
      <c r="G601" s="5"/>
      <c r="H601" s="5"/>
      <c r="I601" s="5" t="str">
        <f t="shared" si="4"/>
        <v/>
      </c>
      <c r="J601" s="6" t="str">
        <f t="shared" si="2"/>
        <v/>
      </c>
      <c r="K601" s="6" t="str">
        <f t="shared" si="3"/>
        <v/>
      </c>
    </row>
    <row r="602">
      <c r="A602" s="5"/>
      <c r="B602" s="5"/>
      <c r="C602" s="5"/>
      <c r="D602" s="5"/>
      <c r="E602" s="5"/>
      <c r="F602" s="3"/>
      <c r="G602" s="5"/>
      <c r="H602" s="5"/>
      <c r="I602" s="5" t="str">
        <f t="shared" si="4"/>
        <v/>
      </c>
      <c r="J602" s="6" t="str">
        <f t="shared" si="2"/>
        <v/>
      </c>
      <c r="K602" s="6" t="str">
        <f t="shared" si="3"/>
        <v/>
      </c>
    </row>
    <row r="603">
      <c r="A603" s="5"/>
      <c r="B603" s="5"/>
      <c r="C603" s="5"/>
      <c r="D603" s="5"/>
      <c r="E603" s="5"/>
      <c r="F603" s="3"/>
      <c r="G603" s="5"/>
      <c r="H603" s="5"/>
      <c r="I603" s="5" t="str">
        <f t="shared" si="4"/>
        <v/>
      </c>
      <c r="J603" s="6" t="str">
        <f t="shared" si="2"/>
        <v/>
      </c>
      <c r="K603" s="6" t="str">
        <f t="shared" si="3"/>
        <v/>
      </c>
    </row>
    <row r="604">
      <c r="A604" s="5"/>
      <c r="B604" s="5"/>
      <c r="C604" s="5"/>
      <c r="D604" s="5"/>
      <c r="E604" s="5"/>
      <c r="F604" s="3"/>
      <c r="G604" s="5"/>
      <c r="H604" s="5"/>
      <c r="I604" s="5" t="str">
        <f t="shared" si="4"/>
        <v/>
      </c>
      <c r="J604" s="6" t="str">
        <f t="shared" si="2"/>
        <v/>
      </c>
      <c r="K604" s="6" t="str">
        <f t="shared" si="3"/>
        <v/>
      </c>
    </row>
    <row r="605">
      <c r="A605" s="5"/>
      <c r="B605" s="5"/>
      <c r="C605" s="5"/>
      <c r="D605" s="5"/>
      <c r="E605" s="5"/>
      <c r="F605" s="3"/>
      <c r="G605" s="5"/>
      <c r="H605" s="5"/>
      <c r="I605" s="5" t="str">
        <f t="shared" si="4"/>
        <v/>
      </c>
      <c r="J605" s="6" t="str">
        <f t="shared" si="2"/>
        <v/>
      </c>
      <c r="K605" s="6" t="str">
        <f t="shared" si="3"/>
        <v/>
      </c>
    </row>
    <row r="606">
      <c r="A606" s="5"/>
      <c r="B606" s="5"/>
      <c r="C606" s="5"/>
      <c r="D606" s="5"/>
      <c r="E606" s="5"/>
      <c r="F606" s="3"/>
      <c r="G606" s="5"/>
      <c r="H606" s="5"/>
      <c r="I606" s="5" t="str">
        <f t="shared" si="4"/>
        <v/>
      </c>
      <c r="J606" s="6" t="str">
        <f t="shared" si="2"/>
        <v/>
      </c>
      <c r="K606" s="6" t="str">
        <f t="shared" si="3"/>
        <v/>
      </c>
    </row>
    <row r="607">
      <c r="A607" s="5"/>
      <c r="B607" s="5"/>
      <c r="C607" s="5"/>
      <c r="D607" s="5"/>
      <c r="E607" s="5"/>
      <c r="F607" s="3"/>
      <c r="G607" s="5"/>
      <c r="H607" s="5"/>
      <c r="I607" s="5" t="str">
        <f t="shared" si="4"/>
        <v/>
      </c>
      <c r="J607" s="6" t="str">
        <f t="shared" si="2"/>
        <v/>
      </c>
      <c r="K607" s="6" t="str">
        <f t="shared" si="3"/>
        <v/>
      </c>
    </row>
    <row r="608">
      <c r="A608" s="5"/>
      <c r="B608" s="5"/>
      <c r="C608" s="5"/>
      <c r="D608" s="5"/>
      <c r="E608" s="5"/>
      <c r="F608" s="3"/>
      <c r="G608" s="5"/>
      <c r="H608" s="5"/>
      <c r="I608" s="5" t="str">
        <f t="shared" si="4"/>
        <v/>
      </c>
      <c r="J608" s="6" t="str">
        <f t="shared" si="2"/>
        <v/>
      </c>
      <c r="K608" s="6" t="str">
        <f t="shared" si="3"/>
        <v/>
      </c>
    </row>
    <row r="609">
      <c r="A609" s="5"/>
      <c r="B609" s="5"/>
      <c r="C609" s="5"/>
      <c r="D609" s="5"/>
      <c r="E609" s="5"/>
      <c r="F609" s="3"/>
      <c r="G609" s="5"/>
      <c r="H609" s="5"/>
      <c r="I609" s="5" t="str">
        <f t="shared" si="4"/>
        <v/>
      </c>
      <c r="J609" s="6" t="str">
        <f t="shared" si="2"/>
        <v/>
      </c>
      <c r="K609" s="6" t="str">
        <f t="shared" si="3"/>
        <v/>
      </c>
    </row>
    <row r="610">
      <c r="A610" s="5"/>
      <c r="B610" s="5"/>
      <c r="C610" s="5"/>
      <c r="D610" s="5"/>
      <c r="E610" s="5"/>
      <c r="F610" s="3"/>
      <c r="G610" s="5"/>
      <c r="H610" s="5"/>
      <c r="I610" s="5" t="str">
        <f t="shared" si="4"/>
        <v/>
      </c>
      <c r="J610" s="6" t="str">
        <f t="shared" si="2"/>
        <v/>
      </c>
      <c r="K610" s="6" t="str">
        <f t="shared" si="3"/>
        <v/>
      </c>
    </row>
    <row r="611">
      <c r="A611" s="5"/>
      <c r="B611" s="5"/>
      <c r="C611" s="5"/>
      <c r="D611" s="5"/>
      <c r="E611" s="5"/>
      <c r="F611" s="3"/>
      <c r="G611" s="5"/>
      <c r="H611" s="5"/>
      <c r="I611" s="5" t="str">
        <f t="shared" si="4"/>
        <v/>
      </c>
      <c r="J611" s="6" t="str">
        <f t="shared" si="2"/>
        <v/>
      </c>
      <c r="K611" s="6" t="str">
        <f t="shared" si="3"/>
        <v/>
      </c>
    </row>
    <row r="612">
      <c r="A612" s="5"/>
      <c r="B612" s="5"/>
      <c r="C612" s="5"/>
      <c r="D612" s="5"/>
      <c r="E612" s="5"/>
      <c r="F612" s="3"/>
      <c r="G612" s="5"/>
      <c r="H612" s="5"/>
      <c r="I612" s="5" t="str">
        <f t="shared" si="4"/>
        <v/>
      </c>
      <c r="J612" s="6" t="str">
        <f t="shared" si="2"/>
        <v/>
      </c>
      <c r="K612" s="6" t="str">
        <f t="shared" si="3"/>
        <v/>
      </c>
    </row>
    <row r="613">
      <c r="A613" s="5"/>
      <c r="B613" s="5"/>
      <c r="C613" s="5"/>
      <c r="D613" s="5"/>
      <c r="E613" s="5"/>
      <c r="F613" s="3"/>
      <c r="G613" s="5"/>
      <c r="H613" s="5"/>
      <c r="I613" s="5" t="str">
        <f t="shared" si="4"/>
        <v/>
      </c>
      <c r="J613" s="6" t="str">
        <f t="shared" si="2"/>
        <v/>
      </c>
      <c r="K613" s="6" t="str">
        <f t="shared" si="3"/>
        <v/>
      </c>
    </row>
    <row r="614">
      <c r="A614" s="5"/>
      <c r="B614" s="5"/>
      <c r="C614" s="5"/>
      <c r="D614" s="5"/>
      <c r="E614" s="5"/>
      <c r="F614" s="3"/>
      <c r="G614" s="5"/>
      <c r="H614" s="5"/>
      <c r="I614" s="5" t="str">
        <f t="shared" si="4"/>
        <v/>
      </c>
      <c r="J614" s="6" t="str">
        <f t="shared" si="2"/>
        <v/>
      </c>
      <c r="K614" s="6" t="str">
        <f t="shared" si="3"/>
        <v/>
      </c>
    </row>
    <row r="615">
      <c r="A615" s="5"/>
      <c r="B615" s="5"/>
      <c r="C615" s="5"/>
      <c r="D615" s="5"/>
      <c r="E615" s="5"/>
      <c r="F615" s="3"/>
      <c r="G615" s="5"/>
      <c r="H615" s="5"/>
      <c r="I615" s="5" t="str">
        <f t="shared" si="4"/>
        <v/>
      </c>
      <c r="J615" s="6" t="str">
        <f t="shared" si="2"/>
        <v/>
      </c>
      <c r="K615" s="6" t="str">
        <f t="shared" si="3"/>
        <v/>
      </c>
    </row>
    <row r="616">
      <c r="A616" s="5"/>
      <c r="B616" s="5"/>
      <c r="C616" s="5"/>
      <c r="D616" s="5"/>
      <c r="E616" s="5"/>
      <c r="F616" s="3"/>
      <c r="G616" s="5"/>
      <c r="H616" s="5"/>
      <c r="I616" s="5" t="str">
        <f t="shared" si="4"/>
        <v/>
      </c>
      <c r="J616" s="6" t="str">
        <f t="shared" si="2"/>
        <v/>
      </c>
      <c r="K616" s="6" t="str">
        <f t="shared" si="3"/>
        <v/>
      </c>
    </row>
    <row r="617">
      <c r="A617" s="5"/>
      <c r="B617" s="5"/>
      <c r="C617" s="5"/>
      <c r="D617" s="5"/>
      <c r="E617" s="5"/>
      <c r="F617" s="3"/>
      <c r="G617" s="5"/>
      <c r="H617" s="5"/>
      <c r="I617" s="5" t="str">
        <f t="shared" si="4"/>
        <v/>
      </c>
      <c r="J617" s="6" t="str">
        <f t="shared" si="2"/>
        <v/>
      </c>
      <c r="K617" s="6" t="str">
        <f t="shared" si="3"/>
        <v/>
      </c>
    </row>
    <row r="618">
      <c r="A618" s="5"/>
      <c r="B618" s="5"/>
      <c r="C618" s="5"/>
      <c r="D618" s="5"/>
      <c r="E618" s="5"/>
      <c r="F618" s="3"/>
      <c r="G618" s="5"/>
      <c r="H618" s="5"/>
      <c r="I618" s="5" t="str">
        <f t="shared" si="4"/>
        <v/>
      </c>
      <c r="J618" s="6" t="str">
        <f t="shared" si="2"/>
        <v/>
      </c>
      <c r="K618" s="6" t="str">
        <f t="shared" si="3"/>
        <v/>
      </c>
    </row>
    <row r="619">
      <c r="A619" s="5"/>
      <c r="B619" s="5"/>
      <c r="C619" s="5"/>
      <c r="D619" s="5"/>
      <c r="E619" s="5"/>
      <c r="F619" s="3"/>
      <c r="G619" s="5"/>
      <c r="H619" s="5"/>
      <c r="I619" s="5" t="str">
        <f t="shared" si="4"/>
        <v/>
      </c>
      <c r="J619" s="6" t="str">
        <f t="shared" si="2"/>
        <v/>
      </c>
      <c r="K619" s="6" t="str">
        <f t="shared" si="3"/>
        <v/>
      </c>
    </row>
    <row r="620">
      <c r="A620" s="5"/>
      <c r="B620" s="5"/>
      <c r="C620" s="5"/>
      <c r="D620" s="5"/>
      <c r="E620" s="5"/>
      <c r="F620" s="3"/>
      <c r="G620" s="5"/>
      <c r="H620" s="5"/>
      <c r="I620" s="5" t="str">
        <f t="shared" si="4"/>
        <v/>
      </c>
      <c r="J620" s="6" t="str">
        <f t="shared" si="2"/>
        <v/>
      </c>
      <c r="K620" s="6" t="str">
        <f t="shared" si="3"/>
        <v/>
      </c>
    </row>
    <row r="621">
      <c r="A621" s="5"/>
      <c r="B621" s="5"/>
      <c r="C621" s="5"/>
      <c r="D621" s="5"/>
      <c r="E621" s="5"/>
      <c r="F621" s="3"/>
      <c r="G621" s="5"/>
      <c r="H621" s="5"/>
      <c r="I621" s="5" t="str">
        <f t="shared" si="4"/>
        <v/>
      </c>
      <c r="J621" s="6" t="str">
        <f t="shared" si="2"/>
        <v/>
      </c>
      <c r="K621" s="6" t="str">
        <f t="shared" si="3"/>
        <v/>
      </c>
    </row>
    <row r="622">
      <c r="A622" s="5"/>
      <c r="B622" s="5"/>
      <c r="C622" s="5"/>
      <c r="D622" s="5"/>
      <c r="E622" s="5"/>
      <c r="F622" s="3"/>
      <c r="G622" s="5"/>
      <c r="H622" s="5"/>
      <c r="I622" s="5" t="str">
        <f t="shared" si="4"/>
        <v/>
      </c>
      <c r="J622" s="6" t="str">
        <f t="shared" si="2"/>
        <v/>
      </c>
      <c r="K622" s="6" t="str">
        <f t="shared" si="3"/>
        <v/>
      </c>
    </row>
    <row r="623">
      <c r="A623" s="5"/>
      <c r="B623" s="5"/>
      <c r="C623" s="5"/>
      <c r="D623" s="5"/>
      <c r="E623" s="5"/>
      <c r="F623" s="3"/>
      <c r="G623" s="5"/>
      <c r="H623" s="5"/>
      <c r="I623" s="5" t="str">
        <f t="shared" si="4"/>
        <v/>
      </c>
      <c r="J623" s="6" t="str">
        <f t="shared" si="2"/>
        <v/>
      </c>
      <c r="K623" s="6" t="str">
        <f t="shared" si="3"/>
        <v/>
      </c>
    </row>
    <row r="624">
      <c r="A624" s="5"/>
      <c r="B624" s="5"/>
      <c r="C624" s="5"/>
      <c r="D624" s="5"/>
      <c r="E624" s="5"/>
      <c r="F624" s="3"/>
      <c r="G624" s="5"/>
      <c r="H624" s="5"/>
      <c r="I624" s="5" t="str">
        <f t="shared" si="4"/>
        <v/>
      </c>
      <c r="J624" s="6" t="str">
        <f t="shared" si="2"/>
        <v/>
      </c>
      <c r="K624" s="6" t="str">
        <f t="shared" si="3"/>
        <v/>
      </c>
    </row>
    <row r="625">
      <c r="A625" s="5"/>
      <c r="B625" s="5"/>
      <c r="C625" s="5"/>
      <c r="D625" s="5"/>
      <c r="E625" s="5"/>
      <c r="F625" s="3"/>
      <c r="G625" s="5"/>
      <c r="H625" s="5"/>
      <c r="I625" s="5" t="str">
        <f t="shared" si="4"/>
        <v/>
      </c>
      <c r="J625" s="6" t="str">
        <f t="shared" si="2"/>
        <v/>
      </c>
      <c r="K625" s="6" t="str">
        <f t="shared" si="3"/>
        <v/>
      </c>
    </row>
    <row r="626">
      <c r="A626" s="5"/>
      <c r="B626" s="5"/>
      <c r="C626" s="5"/>
      <c r="D626" s="5"/>
      <c r="E626" s="5"/>
      <c r="F626" s="3"/>
      <c r="G626" s="5"/>
      <c r="H626" s="5"/>
      <c r="I626" s="5" t="str">
        <f t="shared" si="4"/>
        <v/>
      </c>
      <c r="J626" s="6" t="str">
        <f t="shared" si="2"/>
        <v/>
      </c>
      <c r="K626" s="6" t="str">
        <f t="shared" si="3"/>
        <v/>
      </c>
    </row>
    <row r="627">
      <c r="A627" s="5"/>
      <c r="B627" s="5"/>
      <c r="C627" s="5"/>
      <c r="D627" s="5"/>
      <c r="E627" s="5"/>
      <c r="F627" s="3"/>
      <c r="G627" s="5"/>
      <c r="H627" s="5"/>
      <c r="I627" s="5" t="str">
        <f t="shared" si="4"/>
        <v/>
      </c>
      <c r="J627" s="6" t="str">
        <f t="shared" si="2"/>
        <v/>
      </c>
      <c r="K627" s="6" t="str">
        <f t="shared" si="3"/>
        <v/>
      </c>
    </row>
    <row r="628">
      <c r="A628" s="5"/>
      <c r="B628" s="5"/>
      <c r="C628" s="5"/>
      <c r="D628" s="5"/>
      <c r="E628" s="5"/>
      <c r="F628" s="3"/>
      <c r="G628" s="5"/>
      <c r="H628" s="5"/>
      <c r="I628" s="5" t="str">
        <f t="shared" si="4"/>
        <v/>
      </c>
      <c r="J628" s="6" t="str">
        <f t="shared" si="2"/>
        <v/>
      </c>
      <c r="K628" s="6" t="str">
        <f t="shared" si="3"/>
        <v/>
      </c>
    </row>
    <row r="629">
      <c r="A629" s="5"/>
      <c r="B629" s="5"/>
      <c r="C629" s="5"/>
      <c r="D629" s="5"/>
      <c r="E629" s="5"/>
      <c r="F629" s="3"/>
      <c r="G629" s="5"/>
      <c r="H629" s="5"/>
      <c r="I629" s="5" t="str">
        <f t="shared" si="4"/>
        <v/>
      </c>
      <c r="J629" s="6" t="str">
        <f t="shared" si="2"/>
        <v/>
      </c>
      <c r="K629" s="6" t="str">
        <f t="shared" si="3"/>
        <v/>
      </c>
    </row>
    <row r="630">
      <c r="A630" s="5"/>
      <c r="B630" s="5"/>
      <c r="C630" s="5"/>
      <c r="D630" s="5"/>
      <c r="E630" s="5"/>
      <c r="F630" s="3"/>
      <c r="G630" s="5"/>
      <c r="H630" s="5"/>
      <c r="I630" s="5" t="str">
        <f t="shared" si="4"/>
        <v/>
      </c>
      <c r="J630" s="6" t="str">
        <f t="shared" si="2"/>
        <v/>
      </c>
      <c r="K630" s="6" t="str">
        <f t="shared" si="3"/>
        <v/>
      </c>
    </row>
    <row r="631">
      <c r="A631" s="5"/>
      <c r="B631" s="5"/>
      <c r="C631" s="5"/>
      <c r="D631" s="5"/>
      <c r="E631" s="5"/>
      <c r="F631" s="3"/>
      <c r="G631" s="5"/>
      <c r="H631" s="5"/>
      <c r="I631" s="5" t="str">
        <f t="shared" si="4"/>
        <v/>
      </c>
      <c r="J631" s="6" t="str">
        <f t="shared" si="2"/>
        <v/>
      </c>
      <c r="K631" s="6" t="str">
        <f t="shared" si="3"/>
        <v/>
      </c>
    </row>
    <row r="632">
      <c r="A632" s="5"/>
      <c r="B632" s="5"/>
      <c r="C632" s="5"/>
      <c r="D632" s="5"/>
      <c r="E632" s="5"/>
      <c r="F632" s="3"/>
      <c r="G632" s="5"/>
      <c r="H632" s="5"/>
      <c r="I632" s="5" t="str">
        <f t="shared" si="4"/>
        <v/>
      </c>
      <c r="J632" s="6" t="str">
        <f t="shared" si="2"/>
        <v/>
      </c>
      <c r="K632" s="6" t="str">
        <f t="shared" si="3"/>
        <v/>
      </c>
    </row>
    <row r="633">
      <c r="A633" s="5"/>
      <c r="B633" s="5"/>
      <c r="C633" s="5"/>
      <c r="D633" s="5"/>
      <c r="E633" s="5"/>
      <c r="F633" s="3"/>
      <c r="G633" s="5"/>
      <c r="H633" s="5"/>
      <c r="I633" s="5" t="str">
        <f t="shared" si="4"/>
        <v/>
      </c>
      <c r="J633" s="6" t="str">
        <f t="shared" si="2"/>
        <v/>
      </c>
      <c r="K633" s="6" t="str">
        <f t="shared" si="3"/>
        <v/>
      </c>
    </row>
    <row r="634">
      <c r="A634" s="5"/>
      <c r="B634" s="5"/>
      <c r="C634" s="5"/>
      <c r="D634" s="5"/>
      <c r="E634" s="5"/>
      <c r="F634" s="3"/>
      <c r="G634" s="5"/>
      <c r="H634" s="5"/>
      <c r="I634" s="5" t="str">
        <f t="shared" si="4"/>
        <v/>
      </c>
      <c r="J634" s="6" t="str">
        <f t="shared" si="2"/>
        <v/>
      </c>
      <c r="K634" s="6" t="str">
        <f t="shared" si="3"/>
        <v/>
      </c>
    </row>
    <row r="635">
      <c r="A635" s="5"/>
      <c r="B635" s="5"/>
      <c r="C635" s="5"/>
      <c r="D635" s="5"/>
      <c r="E635" s="5"/>
      <c r="F635" s="3"/>
      <c r="G635" s="5"/>
      <c r="H635" s="5"/>
      <c r="I635" s="5" t="str">
        <f t="shared" si="4"/>
        <v/>
      </c>
      <c r="J635" s="6" t="str">
        <f t="shared" si="2"/>
        <v/>
      </c>
      <c r="K635" s="6" t="str">
        <f t="shared" si="3"/>
        <v/>
      </c>
    </row>
    <row r="636">
      <c r="A636" s="5"/>
      <c r="B636" s="5"/>
      <c r="C636" s="5"/>
      <c r="D636" s="5"/>
      <c r="E636" s="5"/>
      <c r="F636" s="3"/>
      <c r="G636" s="5"/>
      <c r="H636" s="5"/>
      <c r="I636" s="5" t="str">
        <f t="shared" si="4"/>
        <v/>
      </c>
      <c r="J636" s="6" t="str">
        <f t="shared" si="2"/>
        <v/>
      </c>
      <c r="K636" s="6" t="str">
        <f t="shared" si="3"/>
        <v/>
      </c>
    </row>
    <row r="637">
      <c r="A637" s="5"/>
      <c r="B637" s="5"/>
      <c r="C637" s="5"/>
      <c r="D637" s="5"/>
      <c r="E637" s="5"/>
      <c r="F637" s="3"/>
      <c r="G637" s="5"/>
      <c r="H637" s="5"/>
      <c r="I637" s="5" t="str">
        <f t="shared" si="4"/>
        <v/>
      </c>
      <c r="J637" s="6" t="str">
        <f t="shared" si="2"/>
        <v/>
      </c>
      <c r="K637" s="6" t="str">
        <f t="shared" si="3"/>
        <v/>
      </c>
    </row>
    <row r="638">
      <c r="A638" s="5"/>
      <c r="B638" s="5"/>
      <c r="C638" s="5"/>
      <c r="D638" s="5"/>
      <c r="E638" s="5"/>
      <c r="F638" s="3"/>
      <c r="G638" s="5"/>
      <c r="H638" s="5"/>
      <c r="I638" s="5" t="str">
        <f t="shared" si="4"/>
        <v/>
      </c>
      <c r="J638" s="6" t="str">
        <f t="shared" si="2"/>
        <v/>
      </c>
      <c r="K638" s="6" t="str">
        <f t="shared" si="3"/>
        <v/>
      </c>
    </row>
    <row r="639">
      <c r="A639" s="5"/>
      <c r="B639" s="5"/>
      <c r="C639" s="5"/>
      <c r="D639" s="5"/>
      <c r="E639" s="5"/>
      <c r="F639" s="3"/>
      <c r="G639" s="5"/>
      <c r="H639" s="5"/>
      <c r="I639" s="5" t="str">
        <f t="shared" si="4"/>
        <v/>
      </c>
      <c r="J639" s="6" t="str">
        <f t="shared" si="2"/>
        <v/>
      </c>
      <c r="K639" s="6" t="str">
        <f t="shared" si="3"/>
        <v/>
      </c>
    </row>
    <row r="640">
      <c r="A640" s="5"/>
      <c r="B640" s="5"/>
      <c r="C640" s="5"/>
      <c r="D640" s="5"/>
      <c r="E640" s="5"/>
      <c r="F640" s="3"/>
      <c r="G640" s="5"/>
      <c r="H640" s="5"/>
      <c r="I640" s="5" t="str">
        <f t="shared" si="4"/>
        <v/>
      </c>
      <c r="J640" s="6" t="str">
        <f t="shared" si="2"/>
        <v/>
      </c>
      <c r="K640" s="6" t="str">
        <f t="shared" si="3"/>
        <v/>
      </c>
    </row>
    <row r="641">
      <c r="A641" s="5"/>
      <c r="B641" s="5"/>
      <c r="C641" s="5"/>
      <c r="D641" s="5"/>
      <c r="E641" s="5"/>
      <c r="F641" s="3"/>
      <c r="G641" s="5"/>
      <c r="H641" s="5"/>
      <c r="I641" s="5" t="str">
        <f t="shared" si="4"/>
        <v/>
      </c>
      <c r="J641" s="6" t="str">
        <f t="shared" si="2"/>
        <v/>
      </c>
      <c r="K641" s="6" t="str">
        <f t="shared" si="3"/>
        <v/>
      </c>
    </row>
    <row r="642">
      <c r="A642" s="5"/>
      <c r="B642" s="5"/>
      <c r="C642" s="5"/>
      <c r="D642" s="5"/>
      <c r="E642" s="5"/>
      <c r="F642" s="3"/>
      <c r="G642" s="5"/>
      <c r="H642" s="5"/>
      <c r="I642" s="5" t="str">
        <f t="shared" si="4"/>
        <v/>
      </c>
      <c r="J642" s="6" t="str">
        <f t="shared" si="2"/>
        <v/>
      </c>
      <c r="K642" s="6" t="str">
        <f t="shared" si="3"/>
        <v/>
      </c>
    </row>
    <row r="643">
      <c r="A643" s="5"/>
      <c r="B643" s="5"/>
      <c r="C643" s="5"/>
      <c r="D643" s="5"/>
      <c r="E643" s="5"/>
      <c r="F643" s="3"/>
      <c r="G643" s="5"/>
      <c r="H643" s="5"/>
      <c r="I643" s="5" t="str">
        <f t="shared" si="4"/>
        <v/>
      </c>
      <c r="J643" s="6" t="str">
        <f t="shared" si="2"/>
        <v/>
      </c>
      <c r="K643" s="6" t="str">
        <f t="shared" si="3"/>
        <v/>
      </c>
    </row>
    <row r="644">
      <c r="A644" s="5"/>
      <c r="B644" s="5"/>
      <c r="C644" s="5"/>
      <c r="D644" s="5"/>
      <c r="E644" s="5"/>
      <c r="F644" s="3"/>
      <c r="G644" s="5"/>
      <c r="H644" s="5"/>
      <c r="I644" s="5" t="str">
        <f t="shared" si="4"/>
        <v/>
      </c>
      <c r="J644" s="6" t="str">
        <f t="shared" si="2"/>
        <v/>
      </c>
      <c r="K644" s="6" t="str">
        <f t="shared" si="3"/>
        <v/>
      </c>
    </row>
    <row r="645">
      <c r="A645" s="5"/>
      <c r="B645" s="5"/>
      <c r="C645" s="5"/>
      <c r="D645" s="5"/>
      <c r="E645" s="5"/>
      <c r="F645" s="3"/>
      <c r="G645" s="5"/>
      <c r="H645" s="5"/>
      <c r="I645" s="5" t="str">
        <f t="shared" si="4"/>
        <v/>
      </c>
      <c r="J645" s="6" t="str">
        <f t="shared" si="2"/>
        <v/>
      </c>
      <c r="K645" s="6" t="str">
        <f t="shared" si="3"/>
        <v/>
      </c>
    </row>
    <row r="646">
      <c r="A646" s="5"/>
      <c r="B646" s="5"/>
      <c r="C646" s="5"/>
      <c r="D646" s="5"/>
      <c r="E646" s="5"/>
      <c r="F646" s="3"/>
      <c r="G646" s="5"/>
      <c r="H646" s="5"/>
      <c r="I646" s="5" t="str">
        <f t="shared" si="4"/>
        <v/>
      </c>
      <c r="J646" s="6" t="str">
        <f t="shared" si="2"/>
        <v/>
      </c>
      <c r="K646" s="6" t="str">
        <f t="shared" si="3"/>
        <v/>
      </c>
    </row>
    <row r="647">
      <c r="A647" s="5"/>
      <c r="B647" s="5"/>
      <c r="C647" s="5"/>
      <c r="D647" s="5"/>
      <c r="E647" s="5"/>
      <c r="F647" s="3"/>
      <c r="G647" s="5"/>
      <c r="H647" s="5"/>
      <c r="I647" s="5" t="str">
        <f t="shared" si="4"/>
        <v/>
      </c>
      <c r="J647" s="6" t="str">
        <f t="shared" si="2"/>
        <v/>
      </c>
      <c r="K647" s="6" t="str">
        <f t="shared" si="3"/>
        <v/>
      </c>
    </row>
    <row r="648">
      <c r="A648" s="5"/>
      <c r="B648" s="5"/>
      <c r="C648" s="5"/>
      <c r="D648" s="5"/>
      <c r="E648" s="5"/>
      <c r="F648" s="3"/>
      <c r="G648" s="5"/>
      <c r="H648" s="5"/>
      <c r="I648" s="5" t="str">
        <f t="shared" si="4"/>
        <v/>
      </c>
      <c r="J648" s="6" t="str">
        <f t="shared" si="2"/>
        <v/>
      </c>
      <c r="K648" s="6" t="str">
        <f t="shared" si="3"/>
        <v/>
      </c>
    </row>
    <row r="649">
      <c r="A649" s="5"/>
      <c r="B649" s="5"/>
      <c r="C649" s="5"/>
      <c r="D649" s="5"/>
      <c r="E649" s="5"/>
      <c r="F649" s="3"/>
      <c r="G649" s="5"/>
      <c r="H649" s="5"/>
      <c r="I649" s="5" t="str">
        <f t="shared" si="4"/>
        <v/>
      </c>
      <c r="J649" s="6" t="str">
        <f t="shared" si="2"/>
        <v/>
      </c>
      <c r="K649" s="6" t="str">
        <f t="shared" si="3"/>
        <v/>
      </c>
    </row>
    <row r="650">
      <c r="A650" s="5"/>
      <c r="B650" s="5"/>
      <c r="C650" s="5"/>
      <c r="D650" s="5"/>
      <c r="E650" s="5"/>
      <c r="F650" s="3"/>
      <c r="G650" s="5"/>
      <c r="H650" s="5"/>
      <c r="I650" s="5" t="str">
        <f t="shared" si="4"/>
        <v/>
      </c>
      <c r="J650" s="6" t="str">
        <f t="shared" si="2"/>
        <v/>
      </c>
      <c r="K650" s="6" t="str">
        <f t="shared" si="3"/>
        <v/>
      </c>
    </row>
    <row r="651">
      <c r="A651" s="5"/>
      <c r="B651" s="5"/>
      <c r="C651" s="5"/>
      <c r="D651" s="5"/>
      <c r="E651" s="5"/>
      <c r="F651" s="3"/>
      <c r="G651" s="5"/>
      <c r="H651" s="5"/>
      <c r="I651" s="5" t="str">
        <f t="shared" si="4"/>
        <v/>
      </c>
      <c r="J651" s="6" t="str">
        <f t="shared" si="2"/>
        <v/>
      </c>
      <c r="K651" s="6" t="str">
        <f t="shared" si="3"/>
        <v/>
      </c>
    </row>
    <row r="652">
      <c r="A652" s="5"/>
      <c r="B652" s="5"/>
      <c r="C652" s="5"/>
      <c r="D652" s="5"/>
      <c r="E652" s="5"/>
      <c r="F652" s="3"/>
      <c r="G652" s="5"/>
      <c r="H652" s="5"/>
      <c r="I652" s="5" t="str">
        <f t="shared" si="4"/>
        <v/>
      </c>
      <c r="J652" s="6" t="str">
        <f t="shared" si="2"/>
        <v/>
      </c>
      <c r="K652" s="6" t="str">
        <f t="shared" si="3"/>
        <v/>
      </c>
    </row>
    <row r="653">
      <c r="A653" s="5"/>
      <c r="B653" s="5"/>
      <c r="C653" s="5"/>
      <c r="D653" s="5"/>
      <c r="E653" s="5"/>
      <c r="F653" s="3"/>
      <c r="G653" s="5"/>
      <c r="H653" s="5"/>
      <c r="I653" s="5" t="str">
        <f t="shared" si="4"/>
        <v/>
      </c>
      <c r="J653" s="6" t="str">
        <f t="shared" si="2"/>
        <v/>
      </c>
      <c r="K653" s="6" t="str">
        <f t="shared" si="3"/>
        <v/>
      </c>
    </row>
    <row r="654">
      <c r="A654" s="5"/>
      <c r="B654" s="5"/>
      <c r="C654" s="5"/>
      <c r="D654" s="5"/>
      <c r="E654" s="5"/>
      <c r="F654" s="3"/>
      <c r="G654" s="5"/>
      <c r="H654" s="5"/>
      <c r="I654" s="5" t="str">
        <f t="shared" si="4"/>
        <v/>
      </c>
      <c r="J654" s="6" t="str">
        <f t="shared" si="2"/>
        <v/>
      </c>
      <c r="K654" s="6" t="str">
        <f t="shared" si="3"/>
        <v/>
      </c>
    </row>
    <row r="655">
      <c r="A655" s="5"/>
      <c r="B655" s="5"/>
      <c r="C655" s="5"/>
      <c r="D655" s="5"/>
      <c r="E655" s="5"/>
      <c r="F655" s="3"/>
      <c r="G655" s="5"/>
      <c r="H655" s="5"/>
      <c r="I655" s="5" t="str">
        <f t="shared" si="4"/>
        <v/>
      </c>
      <c r="J655" s="6" t="str">
        <f t="shared" si="2"/>
        <v/>
      </c>
      <c r="K655" s="6" t="str">
        <f t="shared" si="3"/>
        <v/>
      </c>
    </row>
    <row r="656">
      <c r="A656" s="5"/>
      <c r="B656" s="5"/>
      <c r="C656" s="5"/>
      <c r="D656" s="5"/>
      <c r="E656" s="5"/>
      <c r="F656" s="3"/>
      <c r="G656" s="5"/>
      <c r="H656" s="5"/>
      <c r="I656" s="5" t="str">
        <f t="shared" si="4"/>
        <v/>
      </c>
      <c r="J656" s="6" t="str">
        <f t="shared" si="2"/>
        <v/>
      </c>
      <c r="K656" s="6" t="str">
        <f t="shared" si="3"/>
        <v/>
      </c>
    </row>
    <row r="657">
      <c r="A657" s="5"/>
      <c r="B657" s="5"/>
      <c r="C657" s="5"/>
      <c r="D657" s="5"/>
      <c r="E657" s="5"/>
      <c r="F657" s="3"/>
      <c r="G657" s="5"/>
      <c r="H657" s="5"/>
      <c r="I657" s="5" t="str">
        <f t="shared" si="4"/>
        <v/>
      </c>
      <c r="J657" s="6" t="str">
        <f t="shared" si="2"/>
        <v/>
      </c>
      <c r="K657" s="6" t="str">
        <f t="shared" si="3"/>
        <v/>
      </c>
    </row>
    <row r="658">
      <c r="A658" s="5"/>
      <c r="B658" s="5"/>
      <c r="C658" s="5"/>
      <c r="D658" s="5"/>
      <c r="E658" s="5"/>
      <c r="F658" s="3"/>
      <c r="G658" s="5"/>
      <c r="H658" s="5"/>
      <c r="I658" s="5" t="str">
        <f t="shared" si="4"/>
        <v/>
      </c>
      <c r="J658" s="6" t="str">
        <f t="shared" si="2"/>
        <v/>
      </c>
      <c r="K658" s="6" t="str">
        <f t="shared" si="3"/>
        <v/>
      </c>
    </row>
    <row r="659">
      <c r="A659" s="5"/>
      <c r="B659" s="5"/>
      <c r="C659" s="5"/>
      <c r="D659" s="5"/>
      <c r="E659" s="5"/>
      <c r="F659" s="3"/>
      <c r="G659" s="5"/>
      <c r="H659" s="5"/>
      <c r="I659" s="5" t="str">
        <f t="shared" si="4"/>
        <v/>
      </c>
      <c r="J659" s="6" t="str">
        <f t="shared" si="2"/>
        <v/>
      </c>
      <c r="K659" s="6" t="str">
        <f t="shared" si="3"/>
        <v/>
      </c>
    </row>
    <row r="660">
      <c r="A660" s="5"/>
      <c r="B660" s="5"/>
      <c r="C660" s="5"/>
      <c r="D660" s="5"/>
      <c r="E660" s="5"/>
      <c r="F660" s="3"/>
      <c r="G660" s="5"/>
      <c r="H660" s="5"/>
      <c r="I660" s="5" t="str">
        <f t="shared" si="4"/>
        <v/>
      </c>
      <c r="J660" s="6" t="str">
        <f t="shared" si="2"/>
        <v/>
      </c>
      <c r="K660" s="6" t="str">
        <f t="shared" si="3"/>
        <v/>
      </c>
    </row>
    <row r="661">
      <c r="A661" s="5"/>
      <c r="B661" s="5"/>
      <c r="C661" s="5"/>
      <c r="D661" s="5"/>
      <c r="E661" s="5"/>
      <c r="F661" s="3"/>
      <c r="G661" s="5"/>
      <c r="H661" s="5"/>
      <c r="I661" s="5" t="str">
        <f t="shared" si="4"/>
        <v/>
      </c>
      <c r="J661" s="6" t="str">
        <f t="shared" si="2"/>
        <v/>
      </c>
      <c r="K661" s="6" t="str">
        <f t="shared" si="3"/>
        <v/>
      </c>
    </row>
    <row r="662">
      <c r="A662" s="5"/>
      <c r="B662" s="5"/>
      <c r="C662" s="5"/>
      <c r="D662" s="5"/>
      <c r="E662" s="5"/>
      <c r="F662" s="3"/>
      <c r="G662" s="5"/>
      <c r="H662" s="5"/>
      <c r="I662" s="5" t="str">
        <f t="shared" si="4"/>
        <v/>
      </c>
      <c r="J662" s="6" t="str">
        <f t="shared" si="2"/>
        <v/>
      </c>
      <c r="K662" s="6" t="str">
        <f t="shared" si="3"/>
        <v/>
      </c>
    </row>
    <row r="663">
      <c r="A663" s="5"/>
      <c r="B663" s="5"/>
      <c r="C663" s="5"/>
      <c r="D663" s="5"/>
      <c r="E663" s="5"/>
      <c r="F663" s="3"/>
      <c r="G663" s="5"/>
      <c r="H663" s="5"/>
      <c r="I663" s="5" t="str">
        <f t="shared" si="4"/>
        <v/>
      </c>
      <c r="J663" s="6" t="str">
        <f t="shared" si="2"/>
        <v/>
      </c>
      <c r="K663" s="6" t="str">
        <f t="shared" si="3"/>
        <v/>
      </c>
    </row>
    <row r="664">
      <c r="A664" s="5"/>
      <c r="B664" s="5"/>
      <c r="C664" s="5"/>
      <c r="D664" s="5"/>
      <c r="E664" s="5"/>
      <c r="F664" s="3"/>
      <c r="G664" s="5"/>
      <c r="H664" s="5"/>
      <c r="I664" s="5" t="str">
        <f t="shared" si="4"/>
        <v/>
      </c>
      <c r="J664" s="6" t="str">
        <f t="shared" si="2"/>
        <v/>
      </c>
      <c r="K664" s="6" t="str">
        <f t="shared" si="3"/>
        <v/>
      </c>
    </row>
    <row r="665">
      <c r="A665" s="5"/>
      <c r="B665" s="5"/>
      <c r="C665" s="5"/>
      <c r="D665" s="5"/>
      <c r="E665" s="5"/>
      <c r="F665" s="3"/>
      <c r="G665" s="5"/>
      <c r="H665" s="5"/>
      <c r="I665" s="5" t="str">
        <f t="shared" si="4"/>
        <v/>
      </c>
      <c r="J665" s="6" t="str">
        <f t="shared" si="2"/>
        <v/>
      </c>
      <c r="K665" s="6" t="str">
        <f t="shared" si="3"/>
        <v/>
      </c>
    </row>
    <row r="666">
      <c r="A666" s="5"/>
      <c r="B666" s="5"/>
      <c r="C666" s="5"/>
      <c r="D666" s="5"/>
      <c r="E666" s="5"/>
      <c r="F666" s="3"/>
      <c r="G666" s="5"/>
      <c r="H666" s="5"/>
      <c r="I666" s="5" t="str">
        <f t="shared" si="4"/>
        <v/>
      </c>
      <c r="J666" s="6" t="str">
        <f t="shared" si="2"/>
        <v/>
      </c>
      <c r="K666" s="6" t="str">
        <f t="shared" si="3"/>
        <v/>
      </c>
    </row>
    <row r="667">
      <c r="A667" s="5"/>
      <c r="B667" s="5"/>
      <c r="C667" s="5"/>
      <c r="D667" s="5"/>
      <c r="E667" s="5"/>
      <c r="F667" s="3"/>
      <c r="G667" s="5"/>
      <c r="H667" s="5"/>
      <c r="I667" s="5" t="str">
        <f t="shared" si="4"/>
        <v/>
      </c>
      <c r="J667" s="6" t="str">
        <f t="shared" si="2"/>
        <v/>
      </c>
      <c r="K667" s="6" t="str">
        <f t="shared" si="3"/>
        <v/>
      </c>
    </row>
    <row r="668">
      <c r="A668" s="5"/>
      <c r="B668" s="5"/>
      <c r="C668" s="5"/>
      <c r="D668" s="5"/>
      <c r="E668" s="5"/>
      <c r="F668" s="3"/>
      <c r="G668" s="5"/>
      <c r="H668" s="5"/>
      <c r="I668" s="5" t="str">
        <f t="shared" si="4"/>
        <v/>
      </c>
      <c r="J668" s="6" t="str">
        <f t="shared" si="2"/>
        <v/>
      </c>
      <c r="K668" s="6" t="str">
        <f t="shared" si="3"/>
        <v/>
      </c>
    </row>
    <row r="669">
      <c r="A669" s="5"/>
      <c r="B669" s="5"/>
      <c r="C669" s="5"/>
      <c r="D669" s="5"/>
      <c r="E669" s="5"/>
      <c r="F669" s="3"/>
      <c r="G669" s="5"/>
      <c r="H669" s="5"/>
      <c r="I669" s="5" t="str">
        <f t="shared" si="4"/>
        <v/>
      </c>
      <c r="J669" s="6" t="str">
        <f t="shared" si="2"/>
        <v/>
      </c>
      <c r="K669" s="6" t="str">
        <f t="shared" si="3"/>
        <v/>
      </c>
    </row>
    <row r="670">
      <c r="A670" s="5"/>
      <c r="B670" s="5"/>
      <c r="C670" s="5"/>
      <c r="D670" s="5"/>
      <c r="E670" s="5"/>
      <c r="F670" s="3"/>
      <c r="G670" s="5"/>
      <c r="H670" s="5"/>
      <c r="I670" s="5" t="str">
        <f t="shared" si="4"/>
        <v/>
      </c>
      <c r="J670" s="6" t="str">
        <f t="shared" si="2"/>
        <v/>
      </c>
      <c r="K670" s="6" t="str">
        <f t="shared" si="3"/>
        <v/>
      </c>
    </row>
    <row r="671">
      <c r="A671" s="5"/>
      <c r="B671" s="5"/>
      <c r="C671" s="5"/>
      <c r="D671" s="5"/>
      <c r="E671" s="5"/>
      <c r="F671" s="3"/>
      <c r="G671" s="5"/>
      <c r="H671" s="5"/>
      <c r="I671" s="5" t="str">
        <f t="shared" si="4"/>
        <v/>
      </c>
      <c r="J671" s="6" t="str">
        <f t="shared" si="2"/>
        <v/>
      </c>
      <c r="K671" s="6" t="str">
        <f t="shared" si="3"/>
        <v/>
      </c>
    </row>
    <row r="672">
      <c r="A672" s="5"/>
      <c r="B672" s="5"/>
      <c r="C672" s="5"/>
      <c r="D672" s="5"/>
      <c r="E672" s="5"/>
      <c r="F672" s="3"/>
      <c r="G672" s="5"/>
      <c r="H672" s="5"/>
      <c r="I672" s="5" t="str">
        <f t="shared" si="4"/>
        <v/>
      </c>
      <c r="J672" s="6" t="str">
        <f t="shared" si="2"/>
        <v/>
      </c>
      <c r="K672" s="6" t="str">
        <f t="shared" si="3"/>
        <v/>
      </c>
    </row>
    <row r="673">
      <c r="A673" s="5"/>
      <c r="B673" s="5"/>
      <c r="C673" s="5"/>
      <c r="D673" s="5"/>
      <c r="E673" s="5"/>
      <c r="F673" s="3"/>
      <c r="G673" s="5"/>
      <c r="H673" s="5"/>
      <c r="I673" s="5" t="str">
        <f t="shared" si="4"/>
        <v/>
      </c>
      <c r="J673" s="6" t="str">
        <f t="shared" si="2"/>
        <v/>
      </c>
      <c r="K673" s="6" t="str">
        <f t="shared" si="3"/>
        <v/>
      </c>
    </row>
    <row r="674">
      <c r="A674" s="5"/>
      <c r="B674" s="5"/>
      <c r="C674" s="5"/>
      <c r="D674" s="5"/>
      <c r="E674" s="5"/>
      <c r="F674" s="3"/>
      <c r="G674" s="5"/>
      <c r="H674" s="5"/>
      <c r="I674" s="5" t="str">
        <f t="shared" si="4"/>
        <v/>
      </c>
      <c r="J674" s="6" t="str">
        <f t="shared" si="2"/>
        <v/>
      </c>
      <c r="K674" s="6" t="str">
        <f t="shared" si="3"/>
        <v/>
      </c>
    </row>
    <row r="675">
      <c r="A675" s="5"/>
      <c r="B675" s="5"/>
      <c r="C675" s="5"/>
      <c r="D675" s="5"/>
      <c r="E675" s="5"/>
      <c r="F675" s="3"/>
      <c r="G675" s="5"/>
      <c r="H675" s="5"/>
      <c r="I675" s="5" t="str">
        <f t="shared" si="4"/>
        <v/>
      </c>
      <c r="J675" s="6" t="str">
        <f t="shared" si="2"/>
        <v/>
      </c>
      <c r="K675" s="6" t="str">
        <f t="shared" si="3"/>
        <v/>
      </c>
    </row>
    <row r="676">
      <c r="A676" s="5"/>
      <c r="B676" s="5"/>
      <c r="C676" s="5"/>
      <c r="D676" s="5"/>
      <c r="E676" s="5"/>
      <c r="F676" s="3"/>
      <c r="G676" s="5"/>
      <c r="H676" s="5"/>
      <c r="I676" s="5" t="str">
        <f t="shared" si="4"/>
        <v/>
      </c>
      <c r="J676" s="6" t="str">
        <f t="shared" si="2"/>
        <v/>
      </c>
      <c r="K676" s="6" t="str">
        <f t="shared" si="3"/>
        <v/>
      </c>
    </row>
    <row r="677">
      <c r="A677" s="5"/>
      <c r="B677" s="5"/>
      <c r="C677" s="5"/>
      <c r="D677" s="5"/>
      <c r="E677" s="5"/>
      <c r="F677" s="3"/>
      <c r="G677" s="5"/>
      <c r="H677" s="5"/>
      <c r="I677" s="5" t="str">
        <f t="shared" si="4"/>
        <v/>
      </c>
      <c r="J677" s="6" t="str">
        <f t="shared" si="2"/>
        <v/>
      </c>
      <c r="K677" s="6" t="str">
        <f t="shared" si="3"/>
        <v/>
      </c>
    </row>
    <row r="678">
      <c r="A678" s="5"/>
      <c r="B678" s="5"/>
      <c r="C678" s="5"/>
      <c r="D678" s="5"/>
      <c r="E678" s="5"/>
      <c r="F678" s="3"/>
      <c r="G678" s="5"/>
      <c r="H678" s="5"/>
      <c r="I678" s="5" t="str">
        <f t="shared" si="4"/>
        <v/>
      </c>
      <c r="J678" s="6" t="str">
        <f t="shared" si="2"/>
        <v/>
      </c>
      <c r="K678" s="6" t="str">
        <f t="shared" si="3"/>
        <v/>
      </c>
    </row>
    <row r="679">
      <c r="A679" s="5"/>
      <c r="B679" s="5"/>
      <c r="C679" s="5"/>
      <c r="D679" s="5"/>
      <c r="E679" s="5"/>
      <c r="F679" s="3"/>
      <c r="G679" s="5"/>
      <c r="H679" s="5"/>
      <c r="I679" s="5" t="str">
        <f t="shared" si="4"/>
        <v/>
      </c>
      <c r="J679" s="6" t="str">
        <f t="shared" si="2"/>
        <v/>
      </c>
      <c r="K679" s="6" t="str">
        <f t="shared" si="3"/>
        <v/>
      </c>
    </row>
    <row r="680">
      <c r="A680" s="5"/>
      <c r="B680" s="5"/>
      <c r="C680" s="5"/>
      <c r="D680" s="5"/>
      <c r="E680" s="5"/>
      <c r="F680" s="3"/>
      <c r="G680" s="5"/>
      <c r="H680" s="5"/>
      <c r="I680" s="5" t="str">
        <f t="shared" si="4"/>
        <v/>
      </c>
      <c r="J680" s="6" t="str">
        <f t="shared" si="2"/>
        <v/>
      </c>
      <c r="K680" s="6" t="str">
        <f t="shared" si="3"/>
        <v/>
      </c>
    </row>
    <row r="681">
      <c r="A681" s="5"/>
      <c r="B681" s="5"/>
      <c r="C681" s="5"/>
      <c r="D681" s="5"/>
      <c r="E681" s="5"/>
      <c r="F681" s="3"/>
      <c r="G681" s="5"/>
      <c r="H681" s="5"/>
      <c r="I681" s="5" t="str">
        <f t="shared" si="4"/>
        <v/>
      </c>
      <c r="J681" s="6" t="str">
        <f t="shared" si="2"/>
        <v/>
      </c>
      <c r="K681" s="6" t="str">
        <f t="shared" si="3"/>
        <v/>
      </c>
    </row>
    <row r="682">
      <c r="A682" s="5"/>
      <c r="B682" s="5"/>
      <c r="C682" s="5"/>
      <c r="D682" s="5"/>
      <c r="E682" s="5"/>
      <c r="F682" s="3"/>
      <c r="G682" s="5"/>
      <c r="H682" s="5"/>
      <c r="I682" s="5" t="str">
        <f t="shared" si="4"/>
        <v/>
      </c>
      <c r="J682" s="6" t="str">
        <f t="shared" si="2"/>
        <v/>
      </c>
      <c r="K682" s="6" t="str">
        <f t="shared" si="3"/>
        <v/>
      </c>
    </row>
    <row r="683">
      <c r="A683" s="5"/>
      <c r="B683" s="5"/>
      <c r="C683" s="5"/>
      <c r="D683" s="5"/>
      <c r="E683" s="5"/>
      <c r="F683" s="3"/>
      <c r="G683" s="5"/>
      <c r="H683" s="5"/>
      <c r="I683" s="5" t="str">
        <f t="shared" si="4"/>
        <v/>
      </c>
      <c r="J683" s="6" t="str">
        <f t="shared" si="2"/>
        <v/>
      </c>
      <c r="K683" s="6" t="str">
        <f t="shared" si="3"/>
        <v/>
      </c>
    </row>
    <row r="684">
      <c r="A684" s="5"/>
      <c r="B684" s="5"/>
      <c r="C684" s="5"/>
      <c r="D684" s="5"/>
      <c r="E684" s="5"/>
      <c r="F684" s="3"/>
      <c r="G684" s="5"/>
      <c r="H684" s="5"/>
      <c r="I684" s="5" t="str">
        <f t="shared" si="4"/>
        <v/>
      </c>
      <c r="J684" s="6" t="str">
        <f t="shared" si="2"/>
        <v/>
      </c>
      <c r="K684" s="6" t="str">
        <f t="shared" si="3"/>
        <v/>
      </c>
    </row>
    <row r="685">
      <c r="A685" s="5"/>
      <c r="B685" s="5"/>
      <c r="C685" s="5"/>
      <c r="D685" s="5"/>
      <c r="E685" s="5"/>
      <c r="F685" s="3"/>
      <c r="G685" s="5"/>
      <c r="H685" s="5"/>
      <c r="I685" s="5" t="str">
        <f t="shared" si="4"/>
        <v/>
      </c>
      <c r="J685" s="6" t="str">
        <f t="shared" si="2"/>
        <v/>
      </c>
      <c r="K685" s="6" t="str">
        <f t="shared" si="3"/>
        <v/>
      </c>
    </row>
    <row r="686">
      <c r="A686" s="5"/>
      <c r="B686" s="5"/>
      <c r="C686" s="5"/>
      <c r="D686" s="5"/>
      <c r="E686" s="5"/>
      <c r="F686" s="3"/>
      <c r="G686" s="5"/>
      <c r="H686" s="5"/>
      <c r="I686" s="5" t="str">
        <f t="shared" si="4"/>
        <v/>
      </c>
      <c r="J686" s="6" t="str">
        <f t="shared" si="2"/>
        <v/>
      </c>
      <c r="K686" s="6" t="str">
        <f t="shared" si="3"/>
        <v/>
      </c>
    </row>
    <row r="687">
      <c r="A687" s="5"/>
      <c r="B687" s="5"/>
      <c r="C687" s="5"/>
      <c r="D687" s="5"/>
      <c r="E687" s="5"/>
      <c r="F687" s="3"/>
      <c r="G687" s="5"/>
      <c r="H687" s="5"/>
      <c r="I687" s="5" t="str">
        <f t="shared" si="4"/>
        <v/>
      </c>
      <c r="J687" s="6" t="str">
        <f t="shared" si="2"/>
        <v/>
      </c>
      <c r="K687" s="6" t="str">
        <f t="shared" si="3"/>
        <v/>
      </c>
    </row>
    <row r="688">
      <c r="A688" s="5"/>
      <c r="B688" s="5"/>
      <c r="C688" s="5"/>
      <c r="D688" s="5"/>
      <c r="E688" s="5"/>
      <c r="F688" s="3"/>
      <c r="G688" s="5"/>
      <c r="H688" s="5"/>
      <c r="I688" s="5" t="str">
        <f t="shared" si="4"/>
        <v/>
      </c>
      <c r="J688" s="6" t="str">
        <f t="shared" si="2"/>
        <v/>
      </c>
      <c r="K688" s="6" t="str">
        <f t="shared" si="3"/>
        <v/>
      </c>
    </row>
    <row r="689">
      <c r="A689" s="5"/>
      <c r="B689" s="5"/>
      <c r="C689" s="5"/>
      <c r="D689" s="5"/>
      <c r="E689" s="5"/>
      <c r="F689" s="3"/>
      <c r="G689" s="5"/>
      <c r="H689" s="5"/>
      <c r="I689" s="5" t="str">
        <f t="shared" si="4"/>
        <v/>
      </c>
      <c r="J689" s="6" t="str">
        <f t="shared" si="2"/>
        <v/>
      </c>
      <c r="K689" s="6" t="str">
        <f t="shared" si="3"/>
        <v/>
      </c>
    </row>
    <row r="690">
      <c r="A690" s="5"/>
      <c r="B690" s="5"/>
      <c r="C690" s="5"/>
      <c r="D690" s="5"/>
      <c r="E690" s="5"/>
      <c r="F690" s="3"/>
      <c r="G690" s="5"/>
      <c r="H690" s="5"/>
      <c r="I690" s="5" t="str">
        <f t="shared" si="4"/>
        <v/>
      </c>
      <c r="J690" s="6" t="str">
        <f t="shared" si="2"/>
        <v/>
      </c>
      <c r="K690" s="6" t="str">
        <f t="shared" si="3"/>
        <v/>
      </c>
    </row>
    <row r="691">
      <c r="A691" s="5"/>
      <c r="B691" s="5"/>
      <c r="C691" s="5"/>
      <c r="D691" s="5"/>
      <c r="E691" s="5"/>
      <c r="F691" s="3"/>
      <c r="G691" s="5"/>
      <c r="H691" s="5"/>
      <c r="I691" s="5" t="str">
        <f t="shared" si="4"/>
        <v/>
      </c>
      <c r="J691" s="6" t="str">
        <f t="shared" si="2"/>
        <v/>
      </c>
      <c r="K691" s="6" t="str">
        <f t="shared" si="3"/>
        <v/>
      </c>
    </row>
    <row r="692">
      <c r="A692" s="5"/>
      <c r="B692" s="5"/>
      <c r="C692" s="5"/>
      <c r="D692" s="5"/>
      <c r="E692" s="5"/>
      <c r="F692" s="3"/>
      <c r="G692" s="5"/>
      <c r="H692" s="5"/>
      <c r="I692" s="5" t="str">
        <f t="shared" si="4"/>
        <v/>
      </c>
      <c r="J692" s="6" t="str">
        <f t="shared" si="2"/>
        <v/>
      </c>
      <c r="K692" s="6" t="str">
        <f t="shared" si="3"/>
        <v/>
      </c>
    </row>
    <row r="693">
      <c r="A693" s="5"/>
      <c r="B693" s="5"/>
      <c r="C693" s="5"/>
      <c r="D693" s="5"/>
      <c r="E693" s="5"/>
      <c r="F693" s="3"/>
      <c r="G693" s="5"/>
      <c r="H693" s="5"/>
      <c r="I693" s="5" t="str">
        <f t="shared" si="4"/>
        <v/>
      </c>
      <c r="J693" s="6" t="str">
        <f t="shared" si="2"/>
        <v/>
      </c>
      <c r="K693" s="6" t="str">
        <f t="shared" si="3"/>
        <v/>
      </c>
    </row>
    <row r="694">
      <c r="A694" s="5"/>
      <c r="B694" s="5"/>
      <c r="C694" s="5"/>
      <c r="D694" s="5"/>
      <c r="E694" s="5"/>
      <c r="F694" s="3"/>
      <c r="G694" s="5"/>
      <c r="H694" s="5"/>
      <c r="I694" s="5" t="str">
        <f t="shared" si="4"/>
        <v/>
      </c>
      <c r="J694" s="6" t="str">
        <f t="shared" si="2"/>
        <v/>
      </c>
      <c r="K694" s="6" t="str">
        <f t="shared" si="3"/>
        <v/>
      </c>
    </row>
    <row r="695">
      <c r="A695" s="5"/>
      <c r="B695" s="5"/>
      <c r="C695" s="5"/>
      <c r="D695" s="5"/>
      <c r="E695" s="5"/>
      <c r="F695" s="3"/>
      <c r="G695" s="5"/>
      <c r="H695" s="5"/>
      <c r="I695" s="5" t="str">
        <f t="shared" si="4"/>
        <v/>
      </c>
      <c r="J695" s="6" t="str">
        <f t="shared" si="2"/>
        <v/>
      </c>
      <c r="K695" s="6" t="str">
        <f t="shared" si="3"/>
        <v/>
      </c>
    </row>
    <row r="696">
      <c r="A696" s="5"/>
      <c r="B696" s="5"/>
      <c r="C696" s="5"/>
      <c r="D696" s="5"/>
      <c r="E696" s="5"/>
      <c r="F696" s="3"/>
      <c r="G696" s="5"/>
      <c r="H696" s="5"/>
      <c r="I696" s="5" t="str">
        <f t="shared" si="4"/>
        <v/>
      </c>
      <c r="J696" s="6" t="str">
        <f t="shared" si="2"/>
        <v/>
      </c>
      <c r="K696" s="6" t="str">
        <f t="shared" si="3"/>
        <v/>
      </c>
    </row>
    <row r="697">
      <c r="A697" s="5"/>
      <c r="B697" s="5"/>
      <c r="C697" s="5"/>
      <c r="D697" s="5"/>
      <c r="E697" s="5"/>
      <c r="F697" s="3"/>
      <c r="G697" s="5"/>
      <c r="H697" s="5"/>
      <c r="I697" s="5" t="str">
        <f t="shared" si="4"/>
        <v/>
      </c>
      <c r="J697" s="6" t="str">
        <f t="shared" si="2"/>
        <v/>
      </c>
      <c r="K697" s="6" t="str">
        <f t="shared" si="3"/>
        <v/>
      </c>
    </row>
    <row r="698">
      <c r="A698" s="5"/>
      <c r="B698" s="5"/>
      <c r="C698" s="5"/>
      <c r="D698" s="5"/>
      <c r="E698" s="5"/>
      <c r="F698" s="3"/>
      <c r="G698" s="5"/>
      <c r="H698" s="5"/>
      <c r="I698" s="5" t="str">
        <f t="shared" si="4"/>
        <v/>
      </c>
      <c r="J698" s="6" t="str">
        <f t="shared" si="2"/>
        <v/>
      </c>
      <c r="K698" s="6" t="str">
        <f t="shared" si="3"/>
        <v/>
      </c>
    </row>
    <row r="699">
      <c r="A699" s="5"/>
      <c r="B699" s="5"/>
      <c r="C699" s="5"/>
      <c r="D699" s="5"/>
      <c r="E699" s="5"/>
      <c r="F699" s="3"/>
      <c r="G699" s="5"/>
      <c r="H699" s="5"/>
      <c r="I699" s="5" t="str">
        <f t="shared" si="4"/>
        <v/>
      </c>
      <c r="J699" s="6" t="str">
        <f t="shared" si="2"/>
        <v/>
      </c>
      <c r="K699" s="6" t="str">
        <f t="shared" si="3"/>
        <v/>
      </c>
    </row>
    <row r="700">
      <c r="A700" s="5"/>
      <c r="B700" s="5"/>
      <c r="C700" s="5"/>
      <c r="D700" s="5"/>
      <c r="E700" s="5"/>
      <c r="F700" s="3"/>
      <c r="G700" s="5"/>
      <c r="H700" s="5"/>
      <c r="I700" s="5" t="str">
        <f t="shared" si="4"/>
        <v/>
      </c>
      <c r="J700" s="6" t="str">
        <f t="shared" si="2"/>
        <v/>
      </c>
      <c r="K700" s="6" t="str">
        <f t="shared" si="3"/>
        <v/>
      </c>
    </row>
    <row r="701">
      <c r="A701" s="5"/>
      <c r="B701" s="5"/>
      <c r="C701" s="5"/>
      <c r="D701" s="5"/>
      <c r="E701" s="5"/>
      <c r="F701" s="3"/>
      <c r="G701" s="5"/>
      <c r="H701" s="5"/>
      <c r="I701" s="5" t="str">
        <f t="shared" si="4"/>
        <v/>
      </c>
      <c r="J701" s="6" t="str">
        <f t="shared" si="2"/>
        <v/>
      </c>
      <c r="K701" s="6" t="str">
        <f t="shared" si="3"/>
        <v/>
      </c>
    </row>
    <row r="702">
      <c r="A702" s="5"/>
      <c r="B702" s="5"/>
      <c r="C702" s="5"/>
      <c r="D702" s="5"/>
      <c r="E702" s="5"/>
      <c r="F702" s="3"/>
      <c r="G702" s="5"/>
      <c r="H702" s="5"/>
      <c r="I702" s="5" t="str">
        <f t="shared" si="4"/>
        <v/>
      </c>
      <c r="J702" s="6" t="str">
        <f t="shared" si="2"/>
        <v/>
      </c>
      <c r="K702" s="6" t="str">
        <f t="shared" si="3"/>
        <v/>
      </c>
    </row>
    <row r="703">
      <c r="A703" s="5"/>
      <c r="B703" s="5"/>
      <c r="C703" s="5"/>
      <c r="D703" s="5"/>
      <c r="E703" s="5"/>
      <c r="F703" s="3"/>
      <c r="G703" s="5"/>
      <c r="H703" s="5"/>
      <c r="I703" s="5" t="str">
        <f t="shared" si="4"/>
        <v/>
      </c>
      <c r="J703" s="6" t="str">
        <f t="shared" si="2"/>
        <v/>
      </c>
      <c r="K703" s="6" t="str">
        <f t="shared" si="3"/>
        <v/>
      </c>
    </row>
    <row r="704">
      <c r="A704" s="5"/>
      <c r="B704" s="5"/>
      <c r="C704" s="5"/>
      <c r="D704" s="5"/>
      <c r="E704" s="5"/>
      <c r="F704" s="3"/>
      <c r="G704" s="5"/>
      <c r="H704" s="5"/>
      <c r="I704" s="5" t="str">
        <f t="shared" si="4"/>
        <v/>
      </c>
      <c r="J704" s="6" t="str">
        <f t="shared" si="2"/>
        <v/>
      </c>
      <c r="K704" s="6" t="str">
        <f t="shared" si="3"/>
        <v/>
      </c>
    </row>
    <row r="705">
      <c r="A705" s="5"/>
      <c r="B705" s="5"/>
      <c r="C705" s="5"/>
      <c r="D705" s="5"/>
      <c r="E705" s="5"/>
      <c r="F705" s="3"/>
      <c r="G705" s="5"/>
      <c r="H705" s="5"/>
      <c r="I705" s="5" t="str">
        <f t="shared" si="4"/>
        <v/>
      </c>
      <c r="J705" s="6" t="str">
        <f t="shared" si="2"/>
        <v/>
      </c>
      <c r="K705" s="6" t="str">
        <f t="shared" si="3"/>
        <v/>
      </c>
    </row>
    <row r="706">
      <c r="A706" s="5"/>
      <c r="B706" s="5"/>
      <c r="C706" s="5"/>
      <c r="D706" s="5"/>
      <c r="E706" s="5"/>
      <c r="F706" s="3"/>
      <c r="G706" s="5"/>
      <c r="H706" s="5"/>
      <c r="I706" s="5" t="str">
        <f t="shared" si="4"/>
        <v/>
      </c>
      <c r="J706" s="6" t="str">
        <f t="shared" si="2"/>
        <v/>
      </c>
      <c r="K706" s="6" t="str">
        <f t="shared" si="3"/>
        <v/>
      </c>
    </row>
    <row r="707">
      <c r="A707" s="5"/>
      <c r="B707" s="5"/>
      <c r="C707" s="5"/>
      <c r="D707" s="5"/>
      <c r="E707" s="5"/>
      <c r="F707" s="3"/>
      <c r="G707" s="5"/>
      <c r="H707" s="5"/>
      <c r="I707" s="5" t="str">
        <f t="shared" si="4"/>
        <v/>
      </c>
      <c r="J707" s="6" t="str">
        <f t="shared" si="2"/>
        <v/>
      </c>
      <c r="K707" s="6" t="str">
        <f t="shared" si="3"/>
        <v/>
      </c>
    </row>
    <row r="708">
      <c r="A708" s="5"/>
      <c r="B708" s="5"/>
      <c r="C708" s="5"/>
      <c r="D708" s="5"/>
      <c r="E708" s="5"/>
      <c r="F708" s="3"/>
      <c r="G708" s="5"/>
      <c r="H708" s="5"/>
      <c r="I708" s="5" t="str">
        <f t="shared" si="4"/>
        <v/>
      </c>
      <c r="J708" s="6" t="str">
        <f t="shared" si="2"/>
        <v/>
      </c>
      <c r="K708" s="6" t="str">
        <f t="shared" si="3"/>
        <v/>
      </c>
    </row>
    <row r="709">
      <c r="A709" s="5"/>
      <c r="B709" s="5"/>
      <c r="C709" s="5"/>
      <c r="D709" s="5"/>
      <c r="E709" s="5"/>
      <c r="F709" s="3"/>
      <c r="G709" s="5"/>
      <c r="H709" s="5"/>
      <c r="I709" s="5" t="str">
        <f t="shared" si="4"/>
        <v/>
      </c>
      <c r="J709" s="6" t="str">
        <f t="shared" si="2"/>
        <v/>
      </c>
      <c r="K709" s="6" t="str">
        <f t="shared" si="3"/>
        <v/>
      </c>
    </row>
    <row r="710">
      <c r="A710" s="5"/>
      <c r="B710" s="5"/>
      <c r="C710" s="5"/>
      <c r="D710" s="5"/>
      <c r="E710" s="5"/>
      <c r="F710" s="3"/>
      <c r="G710" s="5"/>
      <c r="H710" s="5"/>
      <c r="I710" s="5" t="str">
        <f t="shared" si="4"/>
        <v/>
      </c>
      <c r="J710" s="6" t="str">
        <f t="shared" si="2"/>
        <v/>
      </c>
      <c r="K710" s="6" t="str">
        <f t="shared" si="3"/>
        <v/>
      </c>
    </row>
    <row r="711">
      <c r="A711" s="5"/>
      <c r="B711" s="5"/>
      <c r="C711" s="5"/>
      <c r="D711" s="5"/>
      <c r="E711" s="5"/>
      <c r="F711" s="3"/>
      <c r="G711" s="5"/>
      <c r="H711" s="5"/>
      <c r="I711" s="5" t="str">
        <f t="shared" si="4"/>
        <v/>
      </c>
      <c r="J711" s="6" t="str">
        <f t="shared" si="2"/>
        <v/>
      </c>
      <c r="K711" s="6" t="str">
        <f t="shared" si="3"/>
        <v/>
      </c>
    </row>
    <row r="712">
      <c r="A712" s="5"/>
      <c r="B712" s="5"/>
      <c r="C712" s="5"/>
      <c r="D712" s="5"/>
      <c r="E712" s="5"/>
      <c r="F712" s="3"/>
      <c r="G712" s="5"/>
      <c r="H712" s="5"/>
      <c r="I712" s="5" t="str">
        <f t="shared" si="4"/>
        <v/>
      </c>
      <c r="J712" s="6" t="str">
        <f t="shared" si="2"/>
        <v/>
      </c>
      <c r="K712" s="6" t="str">
        <f t="shared" si="3"/>
        <v/>
      </c>
    </row>
    <row r="713">
      <c r="A713" s="5"/>
      <c r="B713" s="5"/>
      <c r="C713" s="5"/>
      <c r="D713" s="5"/>
      <c r="E713" s="5"/>
      <c r="F713" s="3"/>
      <c r="G713" s="5"/>
      <c r="H713" s="5"/>
      <c r="I713" s="5" t="str">
        <f t="shared" si="4"/>
        <v/>
      </c>
      <c r="J713" s="6" t="str">
        <f t="shared" si="2"/>
        <v/>
      </c>
      <c r="K713" s="6" t="str">
        <f t="shared" si="3"/>
        <v/>
      </c>
    </row>
    <row r="714">
      <c r="A714" s="5"/>
      <c r="B714" s="5"/>
      <c r="C714" s="5"/>
      <c r="D714" s="5"/>
      <c r="E714" s="5"/>
      <c r="F714" s="3"/>
      <c r="G714" s="5"/>
      <c r="H714" s="5"/>
      <c r="I714" s="5" t="str">
        <f t="shared" si="4"/>
        <v/>
      </c>
      <c r="J714" s="6" t="str">
        <f t="shared" si="2"/>
        <v/>
      </c>
      <c r="K714" s="6" t="str">
        <f t="shared" si="3"/>
        <v/>
      </c>
    </row>
    <row r="715">
      <c r="A715" s="5"/>
      <c r="B715" s="5"/>
      <c r="C715" s="5"/>
      <c r="D715" s="5"/>
      <c r="E715" s="5"/>
      <c r="F715" s="3"/>
      <c r="G715" s="5"/>
      <c r="H715" s="5"/>
      <c r="I715" s="5" t="str">
        <f t="shared" si="4"/>
        <v/>
      </c>
      <c r="J715" s="6" t="str">
        <f t="shared" si="2"/>
        <v/>
      </c>
      <c r="K715" s="6" t="str">
        <f t="shared" si="3"/>
        <v/>
      </c>
    </row>
    <row r="716">
      <c r="A716" s="5"/>
      <c r="B716" s="5"/>
      <c r="C716" s="5"/>
      <c r="D716" s="5"/>
      <c r="E716" s="5"/>
      <c r="F716" s="3"/>
      <c r="G716" s="5"/>
      <c r="H716" s="5"/>
      <c r="I716" s="5" t="str">
        <f t="shared" si="4"/>
        <v/>
      </c>
      <c r="J716" s="6" t="str">
        <f t="shared" si="2"/>
        <v/>
      </c>
      <c r="K716" s="6" t="str">
        <f t="shared" si="3"/>
        <v/>
      </c>
    </row>
    <row r="717">
      <c r="A717" s="5"/>
      <c r="B717" s="5"/>
      <c r="C717" s="5"/>
      <c r="D717" s="5"/>
      <c r="E717" s="5"/>
      <c r="F717" s="3"/>
      <c r="G717" s="5"/>
      <c r="H717" s="5"/>
      <c r="I717" s="5" t="str">
        <f t="shared" si="4"/>
        <v/>
      </c>
      <c r="J717" s="6" t="str">
        <f t="shared" si="2"/>
        <v/>
      </c>
      <c r="K717" s="6" t="str">
        <f t="shared" si="3"/>
        <v/>
      </c>
    </row>
    <row r="718">
      <c r="A718" s="5"/>
      <c r="B718" s="5"/>
      <c r="C718" s="5"/>
      <c r="D718" s="5"/>
      <c r="E718" s="5"/>
      <c r="F718" s="3"/>
      <c r="G718" s="5"/>
      <c r="H718" s="5"/>
      <c r="I718" s="5" t="str">
        <f t="shared" si="4"/>
        <v/>
      </c>
      <c r="J718" s="6" t="str">
        <f t="shared" si="2"/>
        <v/>
      </c>
      <c r="K718" s="6" t="str">
        <f t="shared" si="3"/>
        <v/>
      </c>
    </row>
    <row r="719">
      <c r="A719" s="5"/>
      <c r="B719" s="5"/>
      <c r="C719" s="5"/>
      <c r="D719" s="5"/>
      <c r="E719" s="5"/>
      <c r="F719" s="3"/>
      <c r="G719" s="5"/>
      <c r="H719" s="5"/>
      <c r="I719" s="5" t="str">
        <f t="shared" si="4"/>
        <v/>
      </c>
      <c r="J719" s="6" t="str">
        <f t="shared" si="2"/>
        <v/>
      </c>
      <c r="K719" s="6" t="str">
        <f t="shared" si="3"/>
        <v/>
      </c>
    </row>
    <row r="720">
      <c r="A720" s="5"/>
      <c r="B720" s="5"/>
      <c r="C720" s="5"/>
      <c r="D720" s="5"/>
      <c r="E720" s="5"/>
      <c r="F720" s="3"/>
      <c r="G720" s="5"/>
      <c r="H720" s="5"/>
      <c r="I720" s="5" t="str">
        <f t="shared" si="4"/>
        <v/>
      </c>
      <c r="J720" s="6" t="str">
        <f t="shared" si="2"/>
        <v/>
      </c>
      <c r="K720" s="6" t="str">
        <f t="shared" si="3"/>
        <v/>
      </c>
    </row>
    <row r="721">
      <c r="A721" s="5"/>
      <c r="B721" s="5"/>
      <c r="C721" s="5"/>
      <c r="D721" s="5"/>
      <c r="E721" s="5"/>
      <c r="F721" s="3"/>
      <c r="G721" s="5"/>
      <c r="H721" s="5"/>
      <c r="I721" s="5" t="str">
        <f t="shared" si="4"/>
        <v/>
      </c>
      <c r="J721" s="6" t="str">
        <f t="shared" si="2"/>
        <v/>
      </c>
      <c r="K721" s="6" t="str">
        <f t="shared" si="3"/>
        <v/>
      </c>
    </row>
    <row r="722">
      <c r="A722" s="5"/>
      <c r="B722" s="5"/>
      <c r="C722" s="5"/>
      <c r="D722" s="5"/>
      <c r="E722" s="5"/>
      <c r="F722" s="3"/>
      <c r="G722" s="5"/>
      <c r="H722" s="5"/>
      <c r="I722" s="5" t="str">
        <f t="shared" si="4"/>
        <v/>
      </c>
      <c r="J722" s="6" t="str">
        <f t="shared" si="2"/>
        <v/>
      </c>
      <c r="K722" s="6" t="str">
        <f t="shared" si="3"/>
        <v/>
      </c>
    </row>
    <row r="723">
      <c r="A723" s="5"/>
      <c r="B723" s="5"/>
      <c r="C723" s="5"/>
      <c r="D723" s="5"/>
      <c r="E723" s="5"/>
      <c r="F723" s="3"/>
      <c r="G723" s="5"/>
      <c r="H723" s="5"/>
      <c r="I723" s="5" t="str">
        <f t="shared" si="4"/>
        <v/>
      </c>
      <c r="J723" s="6" t="str">
        <f t="shared" si="2"/>
        <v/>
      </c>
      <c r="K723" s="6" t="str">
        <f t="shared" si="3"/>
        <v/>
      </c>
    </row>
    <row r="724">
      <c r="A724" s="5"/>
      <c r="B724" s="5"/>
      <c r="C724" s="5"/>
      <c r="D724" s="5"/>
      <c r="E724" s="5"/>
      <c r="F724" s="3"/>
      <c r="G724" s="5"/>
      <c r="H724" s="5"/>
      <c r="I724" s="5" t="str">
        <f t="shared" si="4"/>
        <v/>
      </c>
      <c r="J724" s="6" t="str">
        <f t="shared" si="2"/>
        <v/>
      </c>
      <c r="K724" s="6" t="str">
        <f t="shared" si="3"/>
        <v/>
      </c>
    </row>
    <row r="725">
      <c r="A725" s="5"/>
      <c r="B725" s="5"/>
      <c r="C725" s="5"/>
      <c r="D725" s="5"/>
      <c r="E725" s="5"/>
      <c r="F725" s="3"/>
      <c r="G725" s="5"/>
      <c r="H725" s="5"/>
      <c r="I725" s="5" t="str">
        <f t="shared" si="4"/>
        <v/>
      </c>
      <c r="J725" s="6" t="str">
        <f t="shared" si="2"/>
        <v/>
      </c>
      <c r="K725" s="6" t="str">
        <f t="shared" si="3"/>
        <v/>
      </c>
    </row>
    <row r="726">
      <c r="A726" s="5"/>
      <c r="B726" s="5"/>
      <c r="C726" s="5"/>
      <c r="D726" s="5"/>
      <c r="E726" s="5"/>
      <c r="F726" s="3"/>
      <c r="G726" s="5"/>
      <c r="H726" s="5"/>
      <c r="I726" s="5" t="str">
        <f t="shared" si="4"/>
        <v/>
      </c>
      <c r="J726" s="6" t="str">
        <f t="shared" si="2"/>
        <v/>
      </c>
      <c r="K726" s="6" t="str">
        <f t="shared" si="3"/>
        <v/>
      </c>
    </row>
    <row r="727">
      <c r="A727" s="5"/>
      <c r="B727" s="5"/>
      <c r="C727" s="5"/>
      <c r="D727" s="5"/>
      <c r="E727" s="5"/>
      <c r="F727" s="3"/>
      <c r="G727" s="5"/>
      <c r="H727" s="5"/>
      <c r="I727" s="5" t="str">
        <f t="shared" si="4"/>
        <v/>
      </c>
      <c r="J727" s="6" t="str">
        <f t="shared" si="2"/>
        <v/>
      </c>
      <c r="K727" s="6" t="str">
        <f t="shared" si="3"/>
        <v/>
      </c>
    </row>
    <row r="728">
      <c r="A728" s="5"/>
      <c r="B728" s="5"/>
      <c r="C728" s="5"/>
      <c r="D728" s="5"/>
      <c r="E728" s="5"/>
      <c r="F728" s="3"/>
      <c r="G728" s="5"/>
      <c r="H728" s="5"/>
      <c r="I728" s="5" t="str">
        <f t="shared" si="4"/>
        <v/>
      </c>
      <c r="J728" s="6" t="str">
        <f t="shared" si="2"/>
        <v/>
      </c>
      <c r="K728" s="6" t="str">
        <f t="shared" si="3"/>
        <v/>
      </c>
    </row>
    <row r="729">
      <c r="A729" s="5"/>
      <c r="B729" s="5"/>
      <c r="C729" s="5"/>
      <c r="D729" s="5"/>
      <c r="E729" s="5"/>
      <c r="F729" s="3"/>
      <c r="G729" s="5"/>
      <c r="H729" s="5"/>
      <c r="I729" s="5" t="str">
        <f t="shared" si="4"/>
        <v/>
      </c>
      <c r="J729" s="6" t="str">
        <f t="shared" si="2"/>
        <v/>
      </c>
      <c r="K729" s="6" t="str">
        <f t="shared" si="3"/>
        <v/>
      </c>
    </row>
    <row r="730">
      <c r="A730" s="5"/>
      <c r="B730" s="5"/>
      <c r="C730" s="5"/>
      <c r="D730" s="5"/>
      <c r="E730" s="5"/>
      <c r="F730" s="3"/>
      <c r="G730" s="5"/>
      <c r="H730" s="5"/>
      <c r="I730" s="5" t="str">
        <f t="shared" si="4"/>
        <v/>
      </c>
      <c r="J730" s="6" t="str">
        <f t="shared" si="2"/>
        <v/>
      </c>
      <c r="K730" s="6" t="str">
        <f t="shared" si="3"/>
        <v/>
      </c>
    </row>
    <row r="731">
      <c r="A731" s="5"/>
      <c r="B731" s="5"/>
      <c r="C731" s="5"/>
      <c r="D731" s="5"/>
      <c r="E731" s="5"/>
      <c r="F731" s="3"/>
      <c r="G731" s="5"/>
      <c r="H731" s="5"/>
      <c r="I731" s="5" t="str">
        <f t="shared" si="4"/>
        <v/>
      </c>
      <c r="J731" s="6" t="str">
        <f t="shared" si="2"/>
        <v/>
      </c>
      <c r="K731" s="6" t="str">
        <f t="shared" si="3"/>
        <v/>
      </c>
    </row>
    <row r="732">
      <c r="A732" s="5"/>
      <c r="B732" s="5"/>
      <c r="C732" s="5"/>
      <c r="D732" s="5"/>
      <c r="E732" s="5"/>
      <c r="F732" s="3"/>
      <c r="G732" s="5"/>
      <c r="H732" s="5"/>
      <c r="I732" s="5" t="str">
        <f t="shared" si="4"/>
        <v/>
      </c>
      <c r="J732" s="6" t="str">
        <f t="shared" si="2"/>
        <v/>
      </c>
      <c r="K732" s="6" t="str">
        <f t="shared" si="3"/>
        <v/>
      </c>
    </row>
    <row r="733">
      <c r="A733" s="5"/>
      <c r="B733" s="5"/>
      <c r="C733" s="5"/>
      <c r="D733" s="5"/>
      <c r="E733" s="5"/>
      <c r="F733" s="3"/>
      <c r="G733" s="5"/>
      <c r="H733" s="5"/>
      <c r="I733" s="5" t="str">
        <f t="shared" si="4"/>
        <v/>
      </c>
      <c r="J733" s="6" t="str">
        <f t="shared" si="2"/>
        <v/>
      </c>
      <c r="K733" s="6" t="str">
        <f t="shared" si="3"/>
        <v/>
      </c>
    </row>
    <row r="734">
      <c r="A734" s="5"/>
      <c r="B734" s="5"/>
      <c r="C734" s="5"/>
      <c r="D734" s="5"/>
      <c r="E734" s="5"/>
      <c r="F734" s="3"/>
      <c r="G734" s="5"/>
      <c r="H734" s="5"/>
      <c r="I734" s="5" t="str">
        <f t="shared" si="4"/>
        <v/>
      </c>
      <c r="J734" s="6" t="str">
        <f t="shared" si="2"/>
        <v/>
      </c>
      <c r="K734" s="6" t="str">
        <f t="shared" si="3"/>
        <v/>
      </c>
    </row>
    <row r="735">
      <c r="A735" s="5"/>
      <c r="B735" s="5"/>
      <c r="C735" s="5"/>
      <c r="D735" s="5"/>
      <c r="E735" s="5"/>
      <c r="F735" s="3"/>
      <c r="G735" s="5"/>
      <c r="H735" s="5"/>
      <c r="I735" s="5" t="str">
        <f t="shared" si="4"/>
        <v/>
      </c>
      <c r="J735" s="6" t="str">
        <f t="shared" si="2"/>
        <v/>
      </c>
      <c r="K735" s="6" t="str">
        <f t="shared" si="3"/>
        <v/>
      </c>
    </row>
    <row r="736">
      <c r="A736" s="5"/>
      <c r="B736" s="5"/>
      <c r="C736" s="5"/>
      <c r="D736" s="5"/>
      <c r="E736" s="5"/>
      <c r="F736" s="3"/>
      <c r="G736" s="5"/>
      <c r="H736" s="5"/>
      <c r="I736" s="5" t="str">
        <f t="shared" si="4"/>
        <v/>
      </c>
      <c r="J736" s="6" t="str">
        <f t="shared" si="2"/>
        <v/>
      </c>
      <c r="K736" s="6" t="str">
        <f t="shared" si="3"/>
        <v/>
      </c>
    </row>
    <row r="737">
      <c r="A737" s="5"/>
      <c r="B737" s="5"/>
      <c r="C737" s="5"/>
      <c r="D737" s="5"/>
      <c r="E737" s="5"/>
      <c r="F737" s="3"/>
      <c r="G737" s="5"/>
      <c r="H737" s="5"/>
      <c r="I737" s="5" t="str">
        <f t="shared" si="4"/>
        <v/>
      </c>
      <c r="J737" s="6" t="str">
        <f t="shared" si="2"/>
        <v/>
      </c>
      <c r="K737" s="6" t="str">
        <f t="shared" si="3"/>
        <v/>
      </c>
    </row>
    <row r="738">
      <c r="A738" s="5"/>
      <c r="B738" s="5"/>
      <c r="C738" s="5"/>
      <c r="D738" s="5"/>
      <c r="E738" s="5"/>
      <c r="F738" s="3"/>
      <c r="G738" s="5"/>
      <c r="H738" s="5"/>
      <c r="I738" s="5" t="str">
        <f t="shared" si="4"/>
        <v/>
      </c>
      <c r="J738" s="6" t="str">
        <f t="shared" si="2"/>
        <v/>
      </c>
      <c r="K738" s="6" t="str">
        <f t="shared" si="3"/>
        <v/>
      </c>
    </row>
    <row r="739">
      <c r="A739" s="5"/>
      <c r="B739" s="5"/>
      <c r="C739" s="5"/>
      <c r="D739" s="5"/>
      <c r="E739" s="5"/>
      <c r="F739" s="3"/>
      <c r="G739" s="5"/>
      <c r="H739" s="5"/>
      <c r="I739" s="5" t="str">
        <f t="shared" si="4"/>
        <v/>
      </c>
      <c r="J739" s="6" t="str">
        <f t="shared" si="2"/>
        <v/>
      </c>
      <c r="K739" s="6" t="str">
        <f t="shared" si="3"/>
        <v/>
      </c>
    </row>
    <row r="740">
      <c r="A740" s="5"/>
      <c r="B740" s="5"/>
      <c r="C740" s="5"/>
      <c r="D740" s="5"/>
      <c r="E740" s="5"/>
      <c r="F740" s="3"/>
      <c r="G740" s="5"/>
      <c r="H740" s="5"/>
      <c r="I740" s="5" t="str">
        <f t="shared" si="4"/>
        <v/>
      </c>
      <c r="J740" s="6" t="str">
        <f t="shared" si="2"/>
        <v/>
      </c>
      <c r="K740" s="6" t="str">
        <f t="shared" si="3"/>
        <v/>
      </c>
    </row>
    <row r="741">
      <c r="A741" s="5"/>
      <c r="B741" s="5"/>
      <c r="C741" s="5"/>
      <c r="D741" s="5"/>
      <c r="E741" s="5"/>
      <c r="F741" s="3"/>
      <c r="G741" s="5"/>
      <c r="H741" s="5"/>
      <c r="I741" s="5" t="str">
        <f t="shared" si="4"/>
        <v/>
      </c>
      <c r="J741" s="6" t="str">
        <f t="shared" si="2"/>
        <v/>
      </c>
      <c r="K741" s="6" t="str">
        <f t="shared" si="3"/>
        <v/>
      </c>
    </row>
    <row r="742">
      <c r="A742" s="5"/>
      <c r="B742" s="5"/>
      <c r="C742" s="5"/>
      <c r="D742" s="5"/>
      <c r="E742" s="5"/>
      <c r="F742" s="3"/>
      <c r="G742" s="5"/>
      <c r="H742" s="5"/>
      <c r="I742" s="5" t="str">
        <f t="shared" si="4"/>
        <v/>
      </c>
      <c r="J742" s="6" t="str">
        <f t="shared" si="2"/>
        <v/>
      </c>
      <c r="K742" s="6" t="str">
        <f t="shared" si="3"/>
        <v/>
      </c>
    </row>
    <row r="743">
      <c r="A743" s="5"/>
      <c r="B743" s="5"/>
      <c r="C743" s="5"/>
      <c r="D743" s="5"/>
      <c r="E743" s="5"/>
      <c r="F743" s="3"/>
      <c r="G743" s="5"/>
      <c r="H743" s="5"/>
      <c r="I743" s="5" t="str">
        <f t="shared" si="4"/>
        <v/>
      </c>
      <c r="J743" s="6" t="str">
        <f t="shared" si="2"/>
        <v/>
      </c>
      <c r="K743" s="6" t="str">
        <f t="shared" si="3"/>
        <v/>
      </c>
    </row>
    <row r="744">
      <c r="A744" s="5"/>
      <c r="B744" s="5"/>
      <c r="C744" s="5"/>
      <c r="D744" s="5"/>
      <c r="E744" s="5"/>
      <c r="F744" s="3"/>
      <c r="G744" s="5"/>
      <c r="H744" s="5"/>
      <c r="I744" s="5" t="str">
        <f t="shared" si="4"/>
        <v/>
      </c>
      <c r="J744" s="6" t="str">
        <f t="shared" si="2"/>
        <v/>
      </c>
      <c r="K744" s="6" t="str">
        <f t="shared" si="3"/>
        <v/>
      </c>
    </row>
    <row r="745">
      <c r="A745" s="5"/>
      <c r="B745" s="5"/>
      <c r="C745" s="5"/>
      <c r="D745" s="5"/>
      <c r="E745" s="5"/>
      <c r="F745" s="3"/>
      <c r="G745" s="5"/>
      <c r="H745" s="5"/>
      <c r="I745" s="5" t="str">
        <f t="shared" si="4"/>
        <v/>
      </c>
      <c r="J745" s="6" t="str">
        <f t="shared" si="2"/>
        <v/>
      </c>
      <c r="K745" s="6" t="str">
        <f t="shared" si="3"/>
        <v/>
      </c>
    </row>
    <row r="746">
      <c r="A746" s="5"/>
      <c r="B746" s="5"/>
      <c r="C746" s="5"/>
      <c r="D746" s="5"/>
      <c r="E746" s="5"/>
      <c r="F746" s="3"/>
      <c r="G746" s="5"/>
      <c r="H746" s="5"/>
      <c r="I746" s="5" t="str">
        <f t="shared" si="4"/>
        <v/>
      </c>
      <c r="J746" s="6" t="str">
        <f t="shared" si="2"/>
        <v/>
      </c>
      <c r="K746" s="6" t="str">
        <f t="shared" si="3"/>
        <v/>
      </c>
    </row>
    <row r="747">
      <c r="A747" s="5"/>
      <c r="B747" s="5"/>
      <c r="C747" s="5"/>
      <c r="D747" s="5"/>
      <c r="E747" s="5"/>
      <c r="F747" s="3"/>
      <c r="G747" s="5"/>
      <c r="H747" s="5"/>
      <c r="I747" s="5" t="str">
        <f t="shared" si="4"/>
        <v/>
      </c>
      <c r="J747" s="6" t="str">
        <f t="shared" si="2"/>
        <v/>
      </c>
      <c r="K747" s="6" t="str">
        <f t="shared" si="3"/>
        <v/>
      </c>
    </row>
    <row r="748">
      <c r="A748" s="5"/>
      <c r="B748" s="5"/>
      <c r="C748" s="5"/>
      <c r="D748" s="5"/>
      <c r="E748" s="5"/>
      <c r="F748" s="3"/>
      <c r="G748" s="5"/>
      <c r="H748" s="5"/>
      <c r="I748" s="5" t="str">
        <f t="shared" si="4"/>
        <v/>
      </c>
      <c r="J748" s="6" t="str">
        <f t="shared" si="2"/>
        <v/>
      </c>
      <c r="K748" s="6" t="str">
        <f t="shared" si="3"/>
        <v/>
      </c>
    </row>
    <row r="749">
      <c r="A749" s="5"/>
      <c r="B749" s="5"/>
      <c r="C749" s="5"/>
      <c r="D749" s="5"/>
      <c r="E749" s="5"/>
      <c r="F749" s="3"/>
      <c r="G749" s="5"/>
      <c r="H749" s="5"/>
      <c r="I749" s="5" t="str">
        <f t="shared" si="4"/>
        <v/>
      </c>
      <c r="J749" s="6" t="str">
        <f t="shared" si="2"/>
        <v/>
      </c>
      <c r="K749" s="6" t="str">
        <f t="shared" si="3"/>
        <v/>
      </c>
    </row>
    <row r="750">
      <c r="A750" s="5"/>
      <c r="B750" s="5"/>
      <c r="C750" s="5"/>
      <c r="D750" s="5"/>
      <c r="E750" s="5"/>
      <c r="F750" s="3"/>
      <c r="G750" s="5"/>
      <c r="H750" s="5"/>
      <c r="I750" s="5" t="str">
        <f t="shared" si="4"/>
        <v/>
      </c>
      <c r="J750" s="6" t="str">
        <f t="shared" si="2"/>
        <v/>
      </c>
      <c r="K750" s="6" t="str">
        <f t="shared" si="3"/>
        <v/>
      </c>
    </row>
    <row r="751">
      <c r="A751" s="5"/>
      <c r="B751" s="5"/>
      <c r="C751" s="5"/>
      <c r="D751" s="5"/>
      <c r="E751" s="5"/>
      <c r="F751" s="3"/>
      <c r="G751" s="5"/>
      <c r="H751" s="5"/>
      <c r="I751" s="5" t="str">
        <f t="shared" si="4"/>
        <v/>
      </c>
      <c r="J751" s="6" t="str">
        <f t="shared" si="2"/>
        <v/>
      </c>
      <c r="K751" s="6" t="str">
        <f t="shared" si="3"/>
        <v/>
      </c>
    </row>
    <row r="752">
      <c r="A752" s="5"/>
      <c r="B752" s="5"/>
      <c r="C752" s="5"/>
      <c r="D752" s="5"/>
      <c r="E752" s="5"/>
      <c r="F752" s="3"/>
      <c r="G752" s="5"/>
      <c r="H752" s="5"/>
      <c r="I752" s="5" t="str">
        <f t="shared" si="4"/>
        <v/>
      </c>
      <c r="J752" s="6" t="str">
        <f t="shared" si="2"/>
        <v/>
      </c>
      <c r="K752" s="6" t="str">
        <f t="shared" si="3"/>
        <v/>
      </c>
    </row>
    <row r="753">
      <c r="A753" s="5"/>
      <c r="B753" s="5"/>
      <c r="C753" s="5"/>
      <c r="D753" s="5"/>
      <c r="E753" s="5"/>
      <c r="F753" s="3"/>
      <c r="G753" s="5"/>
      <c r="H753" s="5"/>
      <c r="I753" s="5" t="str">
        <f t="shared" si="4"/>
        <v/>
      </c>
      <c r="J753" s="6" t="str">
        <f t="shared" si="2"/>
        <v/>
      </c>
      <c r="K753" s="6" t="str">
        <f t="shared" si="3"/>
        <v/>
      </c>
    </row>
    <row r="754">
      <c r="A754" s="5"/>
      <c r="B754" s="5"/>
      <c r="C754" s="5"/>
      <c r="D754" s="5"/>
      <c r="E754" s="5"/>
      <c r="F754" s="3"/>
      <c r="G754" s="5"/>
      <c r="H754" s="5"/>
      <c r="I754" s="5" t="str">
        <f t="shared" si="4"/>
        <v/>
      </c>
      <c r="J754" s="6" t="str">
        <f t="shared" si="2"/>
        <v/>
      </c>
      <c r="K754" s="6" t="str">
        <f t="shared" si="3"/>
        <v/>
      </c>
    </row>
    <row r="755">
      <c r="A755" s="5"/>
      <c r="B755" s="5"/>
      <c r="C755" s="5"/>
      <c r="D755" s="5"/>
      <c r="E755" s="5"/>
      <c r="F755" s="3"/>
      <c r="G755" s="5"/>
      <c r="H755" s="5"/>
      <c r="I755" s="5" t="str">
        <f t="shared" si="4"/>
        <v/>
      </c>
      <c r="J755" s="6" t="str">
        <f t="shared" si="2"/>
        <v/>
      </c>
      <c r="K755" s="6" t="str">
        <f t="shared" si="3"/>
        <v/>
      </c>
    </row>
    <row r="756">
      <c r="A756" s="5"/>
      <c r="B756" s="5"/>
      <c r="C756" s="5"/>
      <c r="D756" s="5"/>
      <c r="E756" s="5"/>
      <c r="F756" s="3"/>
      <c r="G756" s="5"/>
      <c r="H756" s="5"/>
      <c r="I756" s="5" t="str">
        <f t="shared" si="4"/>
        <v/>
      </c>
      <c r="J756" s="6" t="str">
        <f t="shared" si="2"/>
        <v/>
      </c>
      <c r="K756" s="6" t="str">
        <f t="shared" si="3"/>
        <v/>
      </c>
    </row>
    <row r="757">
      <c r="A757" s="5"/>
      <c r="B757" s="5"/>
      <c r="C757" s="5"/>
      <c r="D757" s="5"/>
      <c r="E757" s="5"/>
      <c r="F757" s="3"/>
      <c r="G757" s="5"/>
      <c r="H757" s="5"/>
      <c r="I757" s="5" t="str">
        <f t="shared" si="4"/>
        <v/>
      </c>
      <c r="J757" s="6" t="str">
        <f t="shared" si="2"/>
        <v/>
      </c>
      <c r="K757" s="6" t="str">
        <f t="shared" si="3"/>
        <v/>
      </c>
    </row>
    <row r="758">
      <c r="A758" s="5"/>
      <c r="B758" s="5"/>
      <c r="C758" s="5"/>
      <c r="D758" s="5"/>
      <c r="E758" s="5"/>
      <c r="F758" s="3"/>
      <c r="G758" s="5"/>
      <c r="H758" s="5"/>
      <c r="I758" s="5" t="str">
        <f t="shared" si="4"/>
        <v/>
      </c>
      <c r="J758" s="6" t="str">
        <f t="shared" si="2"/>
        <v/>
      </c>
      <c r="K758" s="6" t="str">
        <f t="shared" si="3"/>
        <v/>
      </c>
    </row>
    <row r="759">
      <c r="A759" s="5"/>
      <c r="B759" s="5"/>
      <c r="C759" s="5"/>
      <c r="D759" s="5"/>
      <c r="E759" s="5"/>
      <c r="F759" s="3"/>
      <c r="G759" s="5"/>
      <c r="H759" s="5"/>
      <c r="I759" s="5" t="str">
        <f t="shared" si="4"/>
        <v/>
      </c>
      <c r="J759" s="6" t="str">
        <f t="shared" si="2"/>
        <v/>
      </c>
      <c r="K759" s="6" t="str">
        <f t="shared" si="3"/>
        <v/>
      </c>
    </row>
    <row r="760">
      <c r="A760" s="5"/>
      <c r="B760" s="5"/>
      <c r="C760" s="5"/>
      <c r="D760" s="5"/>
      <c r="E760" s="5"/>
      <c r="F760" s="3"/>
      <c r="G760" s="5"/>
      <c r="H760" s="5"/>
      <c r="I760" s="5" t="str">
        <f t="shared" si="4"/>
        <v/>
      </c>
      <c r="J760" s="6" t="str">
        <f t="shared" si="2"/>
        <v/>
      </c>
      <c r="K760" s="6" t="str">
        <f t="shared" si="3"/>
        <v/>
      </c>
    </row>
    <row r="761">
      <c r="A761" s="5"/>
      <c r="B761" s="5"/>
      <c r="C761" s="5"/>
      <c r="D761" s="5"/>
      <c r="E761" s="5"/>
      <c r="F761" s="3"/>
      <c r="G761" s="5"/>
      <c r="H761" s="5"/>
      <c r="I761" s="5" t="str">
        <f t="shared" si="4"/>
        <v/>
      </c>
      <c r="J761" s="6" t="str">
        <f t="shared" si="2"/>
        <v/>
      </c>
      <c r="K761" s="6" t="str">
        <f t="shared" si="3"/>
        <v/>
      </c>
    </row>
    <row r="762">
      <c r="A762" s="5"/>
      <c r="B762" s="5"/>
      <c r="C762" s="5"/>
      <c r="D762" s="5"/>
      <c r="E762" s="5"/>
      <c r="F762" s="3"/>
      <c r="G762" s="5"/>
      <c r="H762" s="5"/>
      <c r="I762" s="5" t="str">
        <f t="shared" si="4"/>
        <v/>
      </c>
      <c r="J762" s="6" t="str">
        <f t="shared" si="2"/>
        <v/>
      </c>
      <c r="K762" s="6" t="str">
        <f t="shared" si="3"/>
        <v/>
      </c>
    </row>
    <row r="763">
      <c r="A763" s="5"/>
      <c r="B763" s="5"/>
      <c r="C763" s="5"/>
      <c r="D763" s="5"/>
      <c r="E763" s="5"/>
      <c r="F763" s="3"/>
      <c r="G763" s="5"/>
      <c r="H763" s="5"/>
      <c r="I763" s="5" t="str">
        <f t="shared" si="4"/>
        <v/>
      </c>
      <c r="J763" s="6" t="str">
        <f t="shared" si="2"/>
        <v/>
      </c>
      <c r="K763" s="6" t="str">
        <f t="shared" si="3"/>
        <v/>
      </c>
    </row>
    <row r="764">
      <c r="A764" s="5"/>
      <c r="B764" s="5"/>
      <c r="C764" s="5"/>
      <c r="D764" s="5"/>
      <c r="E764" s="5"/>
      <c r="F764" s="3"/>
      <c r="G764" s="5"/>
      <c r="H764" s="5"/>
      <c r="I764" s="5" t="str">
        <f t="shared" si="4"/>
        <v/>
      </c>
      <c r="J764" s="6" t="str">
        <f t="shared" si="2"/>
        <v/>
      </c>
      <c r="K764" s="6" t="str">
        <f t="shared" si="3"/>
        <v/>
      </c>
    </row>
    <row r="765">
      <c r="A765" s="5"/>
      <c r="B765" s="5"/>
      <c r="C765" s="5"/>
      <c r="D765" s="5"/>
      <c r="E765" s="5"/>
      <c r="F765" s="3"/>
      <c r="G765" s="5"/>
      <c r="H765" s="5"/>
      <c r="I765" s="5" t="str">
        <f t="shared" si="4"/>
        <v/>
      </c>
      <c r="J765" s="6" t="str">
        <f t="shared" si="2"/>
        <v/>
      </c>
      <c r="K765" s="6" t="str">
        <f t="shared" si="3"/>
        <v/>
      </c>
    </row>
    <row r="766">
      <c r="A766" s="5"/>
      <c r="B766" s="5"/>
      <c r="C766" s="5"/>
      <c r="D766" s="5"/>
      <c r="E766" s="5"/>
      <c r="F766" s="3"/>
      <c r="G766" s="5"/>
      <c r="H766" s="5"/>
      <c r="I766" s="5" t="str">
        <f t="shared" si="4"/>
        <v/>
      </c>
      <c r="J766" s="6" t="str">
        <f t="shared" si="2"/>
        <v/>
      </c>
      <c r="K766" s="6" t="str">
        <f t="shared" si="3"/>
        <v/>
      </c>
    </row>
    <row r="767">
      <c r="A767" s="5"/>
      <c r="B767" s="5"/>
      <c r="C767" s="5"/>
      <c r="D767" s="5"/>
      <c r="E767" s="5"/>
      <c r="F767" s="3"/>
      <c r="G767" s="5"/>
      <c r="H767" s="5"/>
      <c r="I767" s="5" t="str">
        <f t="shared" si="4"/>
        <v/>
      </c>
      <c r="J767" s="6" t="str">
        <f t="shared" si="2"/>
        <v/>
      </c>
      <c r="K767" s="6" t="str">
        <f t="shared" si="3"/>
        <v/>
      </c>
    </row>
    <row r="768">
      <c r="A768" s="5"/>
      <c r="B768" s="5"/>
      <c r="C768" s="5"/>
      <c r="D768" s="5"/>
      <c r="E768" s="5"/>
      <c r="F768" s="3"/>
      <c r="G768" s="5"/>
      <c r="H768" s="5"/>
      <c r="I768" s="5" t="str">
        <f t="shared" si="4"/>
        <v/>
      </c>
      <c r="J768" s="6" t="str">
        <f t="shared" si="2"/>
        <v/>
      </c>
      <c r="K768" s="6" t="str">
        <f t="shared" si="3"/>
        <v/>
      </c>
    </row>
    <row r="769">
      <c r="A769" s="5"/>
      <c r="B769" s="5"/>
      <c r="C769" s="5"/>
      <c r="D769" s="5"/>
      <c r="E769" s="5"/>
      <c r="F769" s="3"/>
      <c r="G769" s="5"/>
      <c r="H769" s="5"/>
      <c r="I769" s="5" t="str">
        <f t="shared" si="4"/>
        <v/>
      </c>
      <c r="J769" s="6" t="str">
        <f t="shared" si="2"/>
        <v/>
      </c>
      <c r="K769" s="6" t="str">
        <f t="shared" si="3"/>
        <v/>
      </c>
    </row>
    <row r="770">
      <c r="A770" s="5"/>
      <c r="B770" s="5"/>
      <c r="C770" s="5"/>
      <c r="D770" s="5"/>
      <c r="E770" s="5"/>
      <c r="F770" s="3"/>
      <c r="G770" s="5"/>
      <c r="H770" s="5"/>
      <c r="I770" s="5" t="str">
        <f t="shared" si="4"/>
        <v/>
      </c>
      <c r="J770" s="6" t="str">
        <f t="shared" si="2"/>
        <v/>
      </c>
      <c r="K770" s="6" t="str">
        <f t="shared" si="3"/>
        <v/>
      </c>
    </row>
    <row r="771">
      <c r="A771" s="5"/>
      <c r="B771" s="5"/>
      <c r="C771" s="5"/>
      <c r="D771" s="5"/>
      <c r="E771" s="5"/>
      <c r="F771" s="3"/>
      <c r="G771" s="5"/>
      <c r="H771" s="5"/>
      <c r="I771" s="5" t="str">
        <f t="shared" si="4"/>
        <v/>
      </c>
      <c r="J771" s="6" t="str">
        <f t="shared" si="2"/>
        <v/>
      </c>
      <c r="K771" s="6" t="str">
        <f t="shared" si="3"/>
        <v/>
      </c>
    </row>
    <row r="772">
      <c r="A772" s="5"/>
      <c r="B772" s="5"/>
      <c r="C772" s="5"/>
      <c r="D772" s="5"/>
      <c r="E772" s="5"/>
      <c r="F772" s="3"/>
      <c r="G772" s="5"/>
      <c r="H772" s="5"/>
      <c r="I772" s="5" t="str">
        <f t="shared" si="4"/>
        <v/>
      </c>
      <c r="J772" s="6" t="str">
        <f t="shared" si="2"/>
        <v/>
      </c>
      <c r="K772" s="6" t="str">
        <f t="shared" si="3"/>
        <v/>
      </c>
    </row>
    <row r="773">
      <c r="A773" s="5"/>
      <c r="B773" s="5"/>
      <c r="C773" s="5"/>
      <c r="D773" s="5"/>
      <c r="E773" s="5"/>
      <c r="F773" s="3"/>
      <c r="G773" s="5"/>
      <c r="H773" s="5"/>
      <c r="I773" s="5" t="str">
        <f t="shared" si="4"/>
        <v/>
      </c>
      <c r="J773" s="6" t="str">
        <f t="shared" si="2"/>
        <v/>
      </c>
      <c r="K773" s="6" t="str">
        <f t="shared" si="3"/>
        <v/>
      </c>
    </row>
    <row r="774">
      <c r="A774" s="5"/>
      <c r="B774" s="5"/>
      <c r="C774" s="5"/>
      <c r="D774" s="5"/>
      <c r="E774" s="5"/>
      <c r="F774" s="3"/>
      <c r="G774" s="5"/>
      <c r="H774" s="5"/>
      <c r="I774" s="5" t="str">
        <f t="shared" si="4"/>
        <v/>
      </c>
      <c r="J774" s="6" t="str">
        <f t="shared" si="2"/>
        <v/>
      </c>
      <c r="K774" s="6" t="str">
        <f t="shared" si="3"/>
        <v/>
      </c>
    </row>
    <row r="775">
      <c r="A775" s="5"/>
      <c r="B775" s="5"/>
      <c r="C775" s="5"/>
      <c r="D775" s="5"/>
      <c r="E775" s="5"/>
      <c r="F775" s="3"/>
      <c r="G775" s="5"/>
      <c r="H775" s="5"/>
      <c r="I775" s="5" t="str">
        <f t="shared" si="4"/>
        <v/>
      </c>
      <c r="J775" s="6" t="str">
        <f t="shared" si="2"/>
        <v/>
      </c>
      <c r="K775" s="6" t="str">
        <f t="shared" si="3"/>
        <v/>
      </c>
    </row>
    <row r="776">
      <c r="A776" s="5"/>
      <c r="B776" s="5"/>
      <c r="C776" s="5"/>
      <c r="D776" s="5"/>
      <c r="E776" s="5"/>
      <c r="F776" s="3"/>
      <c r="G776" s="5"/>
      <c r="H776" s="5"/>
      <c r="I776" s="5" t="str">
        <f t="shared" si="4"/>
        <v/>
      </c>
      <c r="J776" s="6" t="str">
        <f t="shared" si="2"/>
        <v/>
      </c>
      <c r="K776" s="6" t="str">
        <f t="shared" si="3"/>
        <v/>
      </c>
    </row>
    <row r="777">
      <c r="A777" s="5"/>
      <c r="B777" s="5"/>
      <c r="C777" s="5"/>
      <c r="D777" s="5"/>
      <c r="E777" s="5"/>
      <c r="F777" s="3"/>
      <c r="G777" s="5"/>
      <c r="H777" s="5"/>
      <c r="I777" s="5" t="str">
        <f t="shared" si="4"/>
        <v/>
      </c>
      <c r="J777" s="6" t="str">
        <f t="shared" si="2"/>
        <v/>
      </c>
      <c r="K777" s="6" t="str">
        <f t="shared" si="3"/>
        <v/>
      </c>
    </row>
    <row r="778">
      <c r="A778" s="5"/>
      <c r="B778" s="5"/>
      <c r="C778" s="5"/>
      <c r="D778" s="5"/>
      <c r="E778" s="5"/>
      <c r="F778" s="3"/>
      <c r="G778" s="5"/>
      <c r="H778" s="5"/>
      <c r="I778" s="5" t="str">
        <f t="shared" si="4"/>
        <v/>
      </c>
      <c r="J778" s="6" t="str">
        <f t="shared" si="2"/>
        <v/>
      </c>
      <c r="K778" s="6" t="str">
        <f t="shared" si="3"/>
        <v/>
      </c>
    </row>
    <row r="779">
      <c r="A779" s="5"/>
      <c r="B779" s="5"/>
      <c r="C779" s="5"/>
      <c r="D779" s="5"/>
      <c r="E779" s="5"/>
      <c r="F779" s="3"/>
      <c r="G779" s="5"/>
      <c r="H779" s="5"/>
      <c r="I779" s="5" t="str">
        <f t="shared" si="4"/>
        <v/>
      </c>
      <c r="J779" s="6" t="str">
        <f t="shared" si="2"/>
        <v/>
      </c>
      <c r="K779" s="6" t="str">
        <f t="shared" si="3"/>
        <v/>
      </c>
    </row>
    <row r="780">
      <c r="A780" s="5"/>
      <c r="B780" s="5"/>
      <c r="C780" s="5"/>
      <c r="D780" s="5"/>
      <c r="E780" s="5"/>
      <c r="F780" s="3"/>
      <c r="G780" s="5"/>
      <c r="H780" s="5"/>
      <c r="I780" s="5" t="str">
        <f t="shared" si="4"/>
        <v/>
      </c>
      <c r="J780" s="6" t="str">
        <f t="shared" si="2"/>
        <v/>
      </c>
      <c r="K780" s="6" t="str">
        <f t="shared" si="3"/>
        <v/>
      </c>
    </row>
    <row r="781">
      <c r="A781" s="5"/>
      <c r="B781" s="5"/>
      <c r="C781" s="5"/>
      <c r="D781" s="5"/>
      <c r="E781" s="5"/>
      <c r="F781" s="3"/>
      <c r="G781" s="5"/>
      <c r="H781" s="5"/>
      <c r="I781" s="5" t="str">
        <f t="shared" si="4"/>
        <v/>
      </c>
      <c r="J781" s="6" t="str">
        <f t="shared" si="2"/>
        <v/>
      </c>
      <c r="K781" s="6" t="str">
        <f t="shared" si="3"/>
        <v/>
      </c>
    </row>
    <row r="782">
      <c r="A782" s="5"/>
      <c r="B782" s="5"/>
      <c r="C782" s="5"/>
      <c r="D782" s="5"/>
      <c r="E782" s="5"/>
      <c r="F782" s="3"/>
      <c r="G782" s="5"/>
      <c r="H782" s="5"/>
      <c r="I782" s="5" t="str">
        <f t="shared" si="4"/>
        <v/>
      </c>
      <c r="J782" s="6" t="str">
        <f t="shared" si="2"/>
        <v/>
      </c>
      <c r="K782" s="6" t="str">
        <f t="shared" si="3"/>
        <v/>
      </c>
    </row>
    <row r="783">
      <c r="A783" s="5"/>
      <c r="B783" s="5"/>
      <c r="C783" s="5"/>
      <c r="D783" s="5"/>
      <c r="E783" s="5"/>
      <c r="F783" s="3"/>
      <c r="G783" s="5"/>
      <c r="H783" s="5"/>
      <c r="I783" s="5" t="str">
        <f t="shared" si="4"/>
        <v/>
      </c>
      <c r="J783" s="6" t="str">
        <f t="shared" si="2"/>
        <v/>
      </c>
      <c r="K783" s="6" t="str">
        <f t="shared" si="3"/>
        <v/>
      </c>
    </row>
    <row r="784">
      <c r="A784" s="5"/>
      <c r="B784" s="5"/>
      <c r="C784" s="5"/>
      <c r="D784" s="5"/>
      <c r="E784" s="5"/>
      <c r="F784" s="3"/>
      <c r="G784" s="5"/>
      <c r="H784" s="5"/>
      <c r="I784" s="5" t="str">
        <f t="shared" si="4"/>
        <v/>
      </c>
      <c r="J784" s="6" t="str">
        <f t="shared" si="2"/>
        <v/>
      </c>
      <c r="K784" s="6" t="str">
        <f t="shared" si="3"/>
        <v/>
      </c>
    </row>
    <row r="785">
      <c r="A785" s="5"/>
      <c r="B785" s="5"/>
      <c r="C785" s="5"/>
      <c r="D785" s="5"/>
      <c r="E785" s="5"/>
      <c r="F785" s="3"/>
      <c r="G785" s="5"/>
      <c r="H785" s="5"/>
      <c r="I785" s="5" t="str">
        <f t="shared" si="4"/>
        <v/>
      </c>
      <c r="J785" s="6" t="str">
        <f t="shared" si="2"/>
        <v/>
      </c>
      <c r="K785" s="6" t="str">
        <f t="shared" si="3"/>
        <v/>
      </c>
    </row>
    <row r="786">
      <c r="A786" s="5"/>
      <c r="B786" s="5"/>
      <c r="C786" s="5"/>
      <c r="D786" s="5"/>
      <c r="E786" s="5"/>
      <c r="F786" s="3"/>
      <c r="G786" s="5"/>
      <c r="H786" s="5"/>
      <c r="I786" s="5" t="str">
        <f t="shared" si="4"/>
        <v/>
      </c>
      <c r="J786" s="6" t="str">
        <f t="shared" si="2"/>
        <v/>
      </c>
      <c r="K786" s="6" t="str">
        <f t="shared" si="3"/>
        <v/>
      </c>
    </row>
    <row r="787">
      <c r="A787" s="5"/>
      <c r="B787" s="5"/>
      <c r="C787" s="5"/>
      <c r="D787" s="5"/>
      <c r="E787" s="5"/>
      <c r="F787" s="3"/>
      <c r="G787" s="5"/>
      <c r="H787" s="5"/>
      <c r="I787" s="5" t="str">
        <f t="shared" si="4"/>
        <v/>
      </c>
      <c r="J787" s="6" t="str">
        <f t="shared" si="2"/>
        <v/>
      </c>
      <c r="K787" s="6" t="str">
        <f t="shared" si="3"/>
        <v/>
      </c>
    </row>
    <row r="788">
      <c r="A788" s="5"/>
      <c r="B788" s="5"/>
      <c r="C788" s="5"/>
      <c r="D788" s="5"/>
      <c r="E788" s="5"/>
      <c r="F788" s="3"/>
      <c r="G788" s="5"/>
      <c r="H788" s="5"/>
      <c r="I788" s="5" t="str">
        <f t="shared" si="4"/>
        <v/>
      </c>
      <c r="J788" s="6" t="str">
        <f t="shared" si="2"/>
        <v/>
      </c>
      <c r="K788" s="6" t="str">
        <f t="shared" si="3"/>
        <v/>
      </c>
    </row>
    <row r="789">
      <c r="A789" s="5"/>
      <c r="B789" s="5"/>
      <c r="C789" s="5"/>
      <c r="D789" s="5"/>
      <c r="E789" s="5"/>
      <c r="F789" s="3"/>
      <c r="G789" s="5"/>
      <c r="H789" s="5"/>
      <c r="I789" s="5" t="str">
        <f t="shared" si="4"/>
        <v/>
      </c>
      <c r="J789" s="6" t="str">
        <f t="shared" si="2"/>
        <v/>
      </c>
      <c r="K789" s="6" t="str">
        <f t="shared" si="3"/>
        <v/>
      </c>
    </row>
    <row r="790">
      <c r="A790" s="5"/>
      <c r="B790" s="5"/>
      <c r="C790" s="5"/>
      <c r="D790" s="5"/>
      <c r="E790" s="5"/>
      <c r="F790" s="3"/>
      <c r="G790" s="5"/>
      <c r="H790" s="5"/>
      <c r="I790" s="5" t="str">
        <f t="shared" si="4"/>
        <v/>
      </c>
      <c r="J790" s="6" t="str">
        <f t="shared" si="2"/>
        <v/>
      </c>
      <c r="K790" s="6" t="str">
        <f t="shared" si="3"/>
        <v/>
      </c>
    </row>
    <row r="791">
      <c r="A791" s="5"/>
      <c r="B791" s="5"/>
      <c r="C791" s="5"/>
      <c r="D791" s="5"/>
      <c r="E791" s="5"/>
      <c r="F791" s="3"/>
      <c r="G791" s="5"/>
      <c r="H791" s="5"/>
      <c r="I791" s="5" t="str">
        <f t="shared" si="4"/>
        <v/>
      </c>
      <c r="J791" s="6" t="str">
        <f t="shared" si="2"/>
        <v/>
      </c>
      <c r="K791" s="6" t="str">
        <f t="shared" si="3"/>
        <v/>
      </c>
    </row>
    <row r="792">
      <c r="A792" s="5"/>
      <c r="B792" s="5"/>
      <c r="C792" s="5"/>
      <c r="D792" s="5"/>
      <c r="E792" s="5"/>
      <c r="F792" s="3"/>
      <c r="G792" s="5"/>
      <c r="H792" s="5"/>
      <c r="I792" s="5" t="str">
        <f t="shared" si="4"/>
        <v/>
      </c>
      <c r="J792" s="6" t="str">
        <f t="shared" si="2"/>
        <v/>
      </c>
      <c r="K792" s="6" t="str">
        <f t="shared" si="3"/>
        <v/>
      </c>
    </row>
    <row r="793">
      <c r="A793" s="5"/>
      <c r="B793" s="5"/>
      <c r="C793" s="5"/>
      <c r="D793" s="5"/>
      <c r="E793" s="5"/>
      <c r="F793" s="3"/>
      <c r="G793" s="5"/>
      <c r="H793" s="5"/>
      <c r="I793" s="5" t="str">
        <f t="shared" si="4"/>
        <v/>
      </c>
      <c r="J793" s="6" t="str">
        <f t="shared" si="2"/>
        <v/>
      </c>
      <c r="K793" s="6" t="str">
        <f t="shared" si="3"/>
        <v/>
      </c>
    </row>
    <row r="794">
      <c r="A794" s="5"/>
      <c r="B794" s="5"/>
      <c r="C794" s="5"/>
      <c r="D794" s="5"/>
      <c r="E794" s="5"/>
      <c r="F794" s="3"/>
      <c r="G794" s="5"/>
      <c r="H794" s="5"/>
      <c r="I794" s="5" t="str">
        <f t="shared" si="4"/>
        <v/>
      </c>
      <c r="J794" s="6" t="str">
        <f t="shared" si="2"/>
        <v/>
      </c>
      <c r="K794" s="6" t="str">
        <f t="shared" si="3"/>
        <v/>
      </c>
    </row>
    <row r="795">
      <c r="A795" s="5"/>
      <c r="B795" s="5"/>
      <c r="C795" s="5"/>
      <c r="D795" s="5"/>
      <c r="E795" s="5"/>
      <c r="F795" s="3"/>
      <c r="G795" s="5"/>
      <c r="H795" s="5"/>
      <c r="I795" s="5" t="str">
        <f t="shared" si="4"/>
        <v/>
      </c>
      <c r="J795" s="6" t="str">
        <f t="shared" si="2"/>
        <v/>
      </c>
      <c r="K795" s="6" t="str">
        <f t="shared" si="3"/>
        <v/>
      </c>
    </row>
    <row r="796">
      <c r="A796" s="5"/>
      <c r="B796" s="5"/>
      <c r="C796" s="5"/>
      <c r="D796" s="5"/>
      <c r="E796" s="5"/>
      <c r="F796" s="3"/>
      <c r="G796" s="5"/>
      <c r="H796" s="5"/>
      <c r="I796" s="5" t="str">
        <f t="shared" si="4"/>
        <v/>
      </c>
      <c r="J796" s="6" t="str">
        <f t="shared" si="2"/>
        <v/>
      </c>
      <c r="K796" s="6" t="str">
        <f t="shared" si="3"/>
        <v/>
      </c>
    </row>
    <row r="797">
      <c r="A797" s="5"/>
      <c r="B797" s="5"/>
      <c r="C797" s="5"/>
      <c r="D797" s="5"/>
      <c r="E797" s="5"/>
      <c r="F797" s="3"/>
      <c r="G797" s="5"/>
      <c r="H797" s="5"/>
      <c r="I797" s="5" t="str">
        <f t="shared" si="4"/>
        <v/>
      </c>
      <c r="J797" s="6" t="str">
        <f t="shared" si="2"/>
        <v/>
      </c>
      <c r="K797" s="6" t="str">
        <f t="shared" si="3"/>
        <v/>
      </c>
    </row>
    <row r="798">
      <c r="A798" s="5"/>
      <c r="B798" s="5"/>
      <c r="C798" s="5"/>
      <c r="D798" s="5"/>
      <c r="E798" s="5"/>
      <c r="F798" s="3"/>
      <c r="G798" s="5"/>
      <c r="H798" s="5"/>
      <c r="I798" s="5" t="str">
        <f t="shared" si="4"/>
        <v/>
      </c>
      <c r="J798" s="6" t="str">
        <f t="shared" si="2"/>
        <v/>
      </c>
      <c r="K798" s="6" t="str">
        <f t="shared" si="3"/>
        <v/>
      </c>
    </row>
    <row r="799">
      <c r="A799" s="5"/>
      <c r="B799" s="5"/>
      <c r="C799" s="5"/>
      <c r="D799" s="5"/>
      <c r="E799" s="5"/>
      <c r="F799" s="3"/>
      <c r="G799" s="5"/>
      <c r="H799" s="5"/>
      <c r="I799" s="5" t="str">
        <f t="shared" si="4"/>
        <v/>
      </c>
      <c r="J799" s="6" t="str">
        <f t="shared" si="2"/>
        <v/>
      </c>
      <c r="K799" s="6" t="str">
        <f t="shared" si="3"/>
        <v/>
      </c>
    </row>
    <row r="800">
      <c r="A800" s="5"/>
      <c r="B800" s="5"/>
      <c r="C800" s="5"/>
      <c r="D800" s="5"/>
      <c r="E800" s="5"/>
      <c r="F800" s="3"/>
      <c r="G800" s="5"/>
      <c r="H800" s="5"/>
      <c r="I800" s="5" t="str">
        <f t="shared" si="4"/>
        <v/>
      </c>
      <c r="J800" s="6" t="str">
        <f t="shared" si="2"/>
        <v/>
      </c>
      <c r="K800" s="6" t="str">
        <f t="shared" si="3"/>
        <v/>
      </c>
    </row>
    <row r="801">
      <c r="A801" s="5"/>
      <c r="B801" s="5"/>
      <c r="C801" s="5"/>
      <c r="D801" s="5"/>
      <c r="E801" s="5"/>
      <c r="F801" s="3"/>
      <c r="G801" s="5"/>
      <c r="H801" s="5"/>
      <c r="I801" s="5" t="str">
        <f t="shared" si="4"/>
        <v/>
      </c>
      <c r="J801" s="6" t="str">
        <f t="shared" si="2"/>
        <v/>
      </c>
      <c r="K801" s="6" t="str">
        <f t="shared" si="3"/>
        <v/>
      </c>
    </row>
    <row r="802">
      <c r="A802" s="5"/>
      <c r="B802" s="5"/>
      <c r="C802" s="5"/>
      <c r="D802" s="5"/>
      <c r="E802" s="5"/>
      <c r="F802" s="3"/>
      <c r="G802" s="5"/>
      <c r="H802" s="5"/>
      <c r="I802" s="5" t="str">
        <f t="shared" si="4"/>
        <v/>
      </c>
      <c r="J802" s="6" t="str">
        <f t="shared" si="2"/>
        <v/>
      </c>
      <c r="K802" s="6" t="str">
        <f t="shared" si="3"/>
        <v/>
      </c>
    </row>
    <row r="803">
      <c r="A803" s="5"/>
      <c r="B803" s="5"/>
      <c r="C803" s="5"/>
      <c r="D803" s="5"/>
      <c r="E803" s="5"/>
      <c r="F803" s="3"/>
      <c r="G803" s="5"/>
      <c r="H803" s="5"/>
      <c r="I803" s="5" t="str">
        <f t="shared" si="4"/>
        <v/>
      </c>
      <c r="J803" s="6" t="str">
        <f t="shared" si="2"/>
        <v/>
      </c>
      <c r="K803" s="6" t="str">
        <f t="shared" si="3"/>
        <v/>
      </c>
    </row>
    <row r="804">
      <c r="A804" s="5"/>
      <c r="B804" s="5"/>
      <c r="C804" s="5"/>
      <c r="D804" s="5"/>
      <c r="E804" s="5"/>
      <c r="F804" s="3"/>
      <c r="G804" s="5"/>
      <c r="H804" s="5"/>
      <c r="I804" s="5" t="str">
        <f t="shared" si="4"/>
        <v/>
      </c>
      <c r="J804" s="6" t="str">
        <f t="shared" si="2"/>
        <v/>
      </c>
      <c r="K804" s="6" t="str">
        <f t="shared" si="3"/>
        <v/>
      </c>
    </row>
    <row r="805">
      <c r="A805" s="5"/>
      <c r="B805" s="5"/>
      <c r="C805" s="5"/>
      <c r="D805" s="5"/>
      <c r="E805" s="5"/>
      <c r="F805" s="3"/>
      <c r="G805" s="5"/>
      <c r="H805" s="5"/>
      <c r="I805" s="5" t="str">
        <f t="shared" si="4"/>
        <v/>
      </c>
      <c r="J805" s="6" t="str">
        <f t="shared" si="2"/>
        <v/>
      </c>
      <c r="K805" s="6" t="str">
        <f t="shared" si="3"/>
        <v/>
      </c>
    </row>
    <row r="806">
      <c r="A806" s="5"/>
      <c r="B806" s="5"/>
      <c r="C806" s="5"/>
      <c r="D806" s="5"/>
      <c r="E806" s="5"/>
      <c r="F806" s="3"/>
      <c r="G806" s="5"/>
      <c r="H806" s="5"/>
      <c r="I806" s="5" t="str">
        <f t="shared" si="4"/>
        <v/>
      </c>
      <c r="J806" s="6" t="str">
        <f t="shared" si="2"/>
        <v/>
      </c>
      <c r="K806" s="6" t="str">
        <f t="shared" si="3"/>
        <v/>
      </c>
    </row>
    <row r="807">
      <c r="A807" s="5"/>
      <c r="B807" s="5"/>
      <c r="C807" s="5"/>
      <c r="D807" s="5"/>
      <c r="E807" s="5"/>
      <c r="F807" s="3"/>
      <c r="G807" s="5"/>
      <c r="H807" s="5"/>
      <c r="I807" s="5" t="str">
        <f t="shared" si="4"/>
        <v/>
      </c>
      <c r="J807" s="6" t="str">
        <f t="shared" si="2"/>
        <v/>
      </c>
      <c r="K807" s="6" t="str">
        <f t="shared" si="3"/>
        <v/>
      </c>
    </row>
    <row r="808">
      <c r="A808" s="5"/>
      <c r="B808" s="5"/>
      <c r="C808" s="5"/>
      <c r="D808" s="5"/>
      <c r="E808" s="5"/>
      <c r="F808" s="3"/>
      <c r="G808" s="5"/>
      <c r="H808" s="5"/>
      <c r="I808" s="5" t="str">
        <f t="shared" si="4"/>
        <v/>
      </c>
      <c r="J808" s="6" t="str">
        <f t="shared" si="2"/>
        <v/>
      </c>
      <c r="K808" s="6" t="str">
        <f t="shared" si="3"/>
        <v/>
      </c>
    </row>
    <row r="809">
      <c r="A809" s="5"/>
      <c r="B809" s="5"/>
      <c r="C809" s="5"/>
      <c r="D809" s="5"/>
      <c r="E809" s="5"/>
      <c r="F809" s="3"/>
      <c r="G809" s="5"/>
      <c r="H809" s="5"/>
      <c r="I809" s="5" t="str">
        <f t="shared" si="4"/>
        <v/>
      </c>
      <c r="J809" s="6" t="str">
        <f t="shared" si="2"/>
        <v/>
      </c>
      <c r="K809" s="6" t="str">
        <f t="shared" si="3"/>
        <v/>
      </c>
    </row>
    <row r="810">
      <c r="A810" s="5"/>
      <c r="B810" s="5"/>
      <c r="C810" s="5"/>
      <c r="D810" s="5"/>
      <c r="E810" s="5"/>
      <c r="F810" s="3"/>
      <c r="G810" s="5"/>
      <c r="H810" s="5"/>
      <c r="I810" s="5" t="str">
        <f t="shared" si="4"/>
        <v/>
      </c>
      <c r="J810" s="6" t="str">
        <f t="shared" si="2"/>
        <v/>
      </c>
      <c r="K810" s="6" t="str">
        <f t="shared" si="3"/>
        <v/>
      </c>
    </row>
    <row r="811">
      <c r="A811" s="5"/>
      <c r="B811" s="5"/>
      <c r="C811" s="5"/>
      <c r="D811" s="5"/>
      <c r="E811" s="5"/>
      <c r="F811" s="3"/>
      <c r="G811" s="5"/>
      <c r="H811" s="5"/>
      <c r="I811" s="5" t="str">
        <f t="shared" si="4"/>
        <v/>
      </c>
      <c r="J811" s="6" t="str">
        <f t="shared" si="2"/>
        <v/>
      </c>
      <c r="K811" s="6" t="str">
        <f t="shared" si="3"/>
        <v/>
      </c>
    </row>
    <row r="812">
      <c r="A812" s="5"/>
      <c r="B812" s="5"/>
      <c r="C812" s="5"/>
      <c r="D812" s="5"/>
      <c r="E812" s="5"/>
      <c r="F812" s="3"/>
      <c r="G812" s="5"/>
      <c r="H812" s="5"/>
      <c r="I812" s="5" t="str">
        <f t="shared" si="4"/>
        <v/>
      </c>
      <c r="J812" s="6" t="str">
        <f t="shared" si="2"/>
        <v/>
      </c>
      <c r="K812" s="6" t="str">
        <f t="shared" si="3"/>
        <v/>
      </c>
    </row>
    <row r="813">
      <c r="A813" s="5"/>
      <c r="B813" s="5"/>
      <c r="C813" s="5"/>
      <c r="D813" s="5"/>
      <c r="E813" s="5"/>
      <c r="F813" s="3"/>
      <c r="G813" s="5"/>
      <c r="H813" s="5"/>
      <c r="I813" s="5" t="str">
        <f t="shared" si="4"/>
        <v/>
      </c>
      <c r="J813" s="6" t="str">
        <f t="shared" si="2"/>
        <v/>
      </c>
      <c r="K813" s="6" t="str">
        <f t="shared" si="3"/>
        <v/>
      </c>
    </row>
    <row r="814">
      <c r="A814" s="5"/>
      <c r="B814" s="5"/>
      <c r="C814" s="5"/>
      <c r="D814" s="5"/>
      <c r="E814" s="5"/>
      <c r="F814" s="3"/>
      <c r="G814" s="5"/>
      <c r="H814" s="5"/>
      <c r="I814" s="5" t="str">
        <f t="shared" si="4"/>
        <v/>
      </c>
      <c r="J814" s="6" t="str">
        <f t="shared" si="2"/>
        <v/>
      </c>
      <c r="K814" s="6" t="str">
        <f t="shared" si="3"/>
        <v/>
      </c>
    </row>
    <row r="815">
      <c r="A815" s="5"/>
      <c r="B815" s="5"/>
      <c r="C815" s="5"/>
      <c r="D815" s="5"/>
      <c r="E815" s="5"/>
      <c r="F815" s="3"/>
      <c r="G815" s="5"/>
      <c r="H815" s="5"/>
      <c r="I815" s="5" t="str">
        <f t="shared" si="4"/>
        <v/>
      </c>
      <c r="J815" s="6" t="str">
        <f t="shared" si="2"/>
        <v/>
      </c>
      <c r="K815" s="6" t="str">
        <f t="shared" si="3"/>
        <v/>
      </c>
    </row>
    <row r="816">
      <c r="A816" s="5"/>
      <c r="B816" s="5"/>
      <c r="C816" s="5"/>
      <c r="D816" s="5"/>
      <c r="E816" s="5"/>
      <c r="F816" s="3"/>
      <c r="G816" s="5"/>
      <c r="H816" s="5"/>
      <c r="I816" s="5" t="str">
        <f t="shared" si="4"/>
        <v/>
      </c>
      <c r="J816" s="6" t="str">
        <f t="shared" si="2"/>
        <v/>
      </c>
      <c r="K816" s="6" t="str">
        <f t="shared" si="3"/>
        <v/>
      </c>
    </row>
    <row r="817">
      <c r="A817" s="5"/>
      <c r="B817" s="5"/>
      <c r="C817" s="5"/>
      <c r="D817" s="5"/>
      <c r="E817" s="5"/>
      <c r="F817" s="3"/>
      <c r="G817" s="5"/>
      <c r="H817" s="5"/>
      <c r="I817" s="5" t="str">
        <f t="shared" si="4"/>
        <v/>
      </c>
      <c r="J817" s="6" t="str">
        <f t="shared" si="2"/>
        <v/>
      </c>
      <c r="K817" s="6" t="str">
        <f t="shared" si="3"/>
        <v/>
      </c>
    </row>
    <row r="818">
      <c r="A818" s="5"/>
      <c r="B818" s="5"/>
      <c r="C818" s="5"/>
      <c r="D818" s="5"/>
      <c r="E818" s="5"/>
      <c r="F818" s="3"/>
      <c r="G818" s="5"/>
      <c r="H818" s="5"/>
      <c r="I818" s="5" t="str">
        <f t="shared" si="4"/>
        <v/>
      </c>
      <c r="J818" s="6" t="str">
        <f t="shared" si="2"/>
        <v/>
      </c>
      <c r="K818" s="6" t="str">
        <f t="shared" si="3"/>
        <v/>
      </c>
    </row>
    <row r="819">
      <c r="A819" s="5"/>
      <c r="B819" s="5"/>
      <c r="C819" s="5"/>
      <c r="D819" s="5"/>
      <c r="E819" s="5"/>
      <c r="F819" s="3"/>
      <c r="G819" s="5"/>
      <c r="H819" s="5"/>
      <c r="I819" s="5" t="str">
        <f t="shared" si="4"/>
        <v/>
      </c>
      <c r="J819" s="6" t="str">
        <f t="shared" si="2"/>
        <v/>
      </c>
      <c r="K819" s="6" t="str">
        <f t="shared" si="3"/>
        <v/>
      </c>
    </row>
    <row r="820">
      <c r="A820" s="5"/>
      <c r="B820" s="5"/>
      <c r="C820" s="5"/>
      <c r="D820" s="5"/>
      <c r="E820" s="5"/>
      <c r="F820" s="3"/>
      <c r="G820" s="5"/>
      <c r="H820" s="5"/>
      <c r="I820" s="5" t="str">
        <f t="shared" si="4"/>
        <v/>
      </c>
      <c r="J820" s="6" t="str">
        <f t="shared" si="2"/>
        <v/>
      </c>
      <c r="K820" s="6" t="str">
        <f t="shared" si="3"/>
        <v/>
      </c>
    </row>
    <row r="821">
      <c r="A821" s="5"/>
      <c r="B821" s="5"/>
      <c r="C821" s="5"/>
      <c r="D821" s="5"/>
      <c r="E821" s="5"/>
      <c r="F821" s="3"/>
      <c r="G821" s="5"/>
      <c r="H821" s="5"/>
      <c r="I821" s="5" t="str">
        <f t="shared" si="4"/>
        <v/>
      </c>
      <c r="J821" s="6" t="str">
        <f t="shared" si="2"/>
        <v/>
      </c>
      <c r="K821" s="6" t="str">
        <f t="shared" si="3"/>
        <v/>
      </c>
    </row>
    <row r="822">
      <c r="A822" s="5"/>
      <c r="B822" s="5"/>
      <c r="C822" s="5"/>
      <c r="D822" s="5"/>
      <c r="E822" s="5"/>
      <c r="F822" s="3"/>
      <c r="G822" s="5"/>
      <c r="H822" s="5"/>
      <c r="I822" s="5" t="str">
        <f t="shared" si="4"/>
        <v/>
      </c>
      <c r="J822" s="6" t="str">
        <f t="shared" si="2"/>
        <v/>
      </c>
      <c r="K822" s="6" t="str">
        <f t="shared" si="3"/>
        <v/>
      </c>
    </row>
    <row r="823">
      <c r="A823" s="5"/>
      <c r="B823" s="5"/>
      <c r="C823" s="5"/>
      <c r="D823" s="5"/>
      <c r="E823" s="5"/>
      <c r="F823" s="3"/>
      <c r="G823" s="5"/>
      <c r="H823" s="5"/>
      <c r="I823" s="5" t="str">
        <f t="shared" si="4"/>
        <v/>
      </c>
      <c r="J823" s="6" t="str">
        <f t="shared" si="2"/>
        <v/>
      </c>
      <c r="K823" s="6" t="str">
        <f t="shared" si="3"/>
        <v/>
      </c>
    </row>
    <row r="824">
      <c r="A824" s="5"/>
      <c r="B824" s="5"/>
      <c r="C824" s="5"/>
      <c r="D824" s="5"/>
      <c r="E824" s="5"/>
      <c r="F824" s="3"/>
      <c r="G824" s="5"/>
      <c r="H824" s="5"/>
      <c r="I824" s="5" t="str">
        <f t="shared" si="4"/>
        <v/>
      </c>
      <c r="J824" s="6" t="str">
        <f t="shared" si="2"/>
        <v/>
      </c>
      <c r="K824" s="6" t="str">
        <f t="shared" si="3"/>
        <v/>
      </c>
    </row>
    <row r="825">
      <c r="A825" s="5"/>
      <c r="B825" s="5"/>
      <c r="C825" s="5"/>
      <c r="D825" s="5"/>
      <c r="E825" s="5"/>
      <c r="F825" s="3"/>
      <c r="G825" s="5"/>
      <c r="H825" s="5"/>
      <c r="I825" s="5" t="str">
        <f t="shared" si="4"/>
        <v/>
      </c>
      <c r="J825" s="6" t="str">
        <f t="shared" si="2"/>
        <v/>
      </c>
      <c r="K825" s="6" t="str">
        <f t="shared" si="3"/>
        <v/>
      </c>
    </row>
    <row r="826">
      <c r="A826" s="5"/>
      <c r="B826" s="5"/>
      <c r="C826" s="5"/>
      <c r="D826" s="5"/>
      <c r="E826" s="5"/>
      <c r="F826" s="3"/>
      <c r="G826" s="5"/>
      <c r="H826" s="5"/>
      <c r="I826" s="5" t="str">
        <f t="shared" si="4"/>
        <v/>
      </c>
      <c r="J826" s="6" t="str">
        <f t="shared" si="2"/>
        <v/>
      </c>
      <c r="K826" s="6" t="str">
        <f t="shared" si="3"/>
        <v/>
      </c>
    </row>
    <row r="827">
      <c r="A827" s="5"/>
      <c r="B827" s="5"/>
      <c r="C827" s="5"/>
      <c r="D827" s="5"/>
      <c r="E827" s="5"/>
      <c r="F827" s="3"/>
      <c r="G827" s="5"/>
      <c r="H827" s="5"/>
      <c r="I827" s="5" t="str">
        <f t="shared" si="4"/>
        <v/>
      </c>
      <c r="J827" s="6" t="str">
        <f t="shared" si="2"/>
        <v/>
      </c>
      <c r="K827" s="6" t="str">
        <f t="shared" si="3"/>
        <v/>
      </c>
    </row>
    <row r="828">
      <c r="A828" s="5"/>
      <c r="B828" s="5"/>
      <c r="C828" s="5"/>
      <c r="D828" s="5"/>
      <c r="E828" s="5"/>
      <c r="F828" s="3"/>
      <c r="G828" s="5"/>
      <c r="H828" s="5"/>
      <c r="I828" s="5" t="str">
        <f t="shared" si="4"/>
        <v/>
      </c>
      <c r="J828" s="6" t="str">
        <f t="shared" si="2"/>
        <v/>
      </c>
      <c r="K828" s="6" t="str">
        <f t="shared" si="3"/>
        <v/>
      </c>
    </row>
    <row r="829">
      <c r="A829" s="5"/>
      <c r="B829" s="5"/>
      <c r="C829" s="5"/>
      <c r="D829" s="5"/>
      <c r="E829" s="5"/>
      <c r="F829" s="3"/>
      <c r="G829" s="5"/>
      <c r="H829" s="5"/>
      <c r="I829" s="5" t="str">
        <f t="shared" si="4"/>
        <v/>
      </c>
      <c r="J829" s="6" t="str">
        <f t="shared" si="2"/>
        <v/>
      </c>
      <c r="K829" s="6" t="str">
        <f t="shared" si="3"/>
        <v/>
      </c>
    </row>
    <row r="830">
      <c r="A830" s="5"/>
      <c r="B830" s="5"/>
      <c r="C830" s="5"/>
      <c r="D830" s="5"/>
      <c r="E830" s="5"/>
      <c r="F830" s="3"/>
      <c r="G830" s="5"/>
      <c r="H830" s="5"/>
      <c r="I830" s="5" t="str">
        <f t="shared" si="4"/>
        <v/>
      </c>
      <c r="J830" s="6" t="str">
        <f t="shared" si="2"/>
        <v/>
      </c>
      <c r="K830" s="6" t="str">
        <f t="shared" si="3"/>
        <v/>
      </c>
    </row>
    <row r="831">
      <c r="A831" s="5"/>
      <c r="B831" s="5"/>
      <c r="C831" s="5"/>
      <c r="D831" s="5"/>
      <c r="E831" s="5"/>
      <c r="F831" s="3"/>
      <c r="G831" s="5"/>
      <c r="H831" s="5"/>
      <c r="I831" s="5" t="str">
        <f t="shared" si="4"/>
        <v/>
      </c>
      <c r="J831" s="6" t="str">
        <f t="shared" si="2"/>
        <v/>
      </c>
      <c r="K831" s="6" t="str">
        <f t="shared" si="3"/>
        <v/>
      </c>
    </row>
    <row r="832">
      <c r="A832" s="5"/>
      <c r="B832" s="5"/>
      <c r="C832" s="5"/>
      <c r="D832" s="5"/>
      <c r="E832" s="5"/>
      <c r="F832" s="3"/>
      <c r="G832" s="5"/>
      <c r="H832" s="5"/>
      <c r="I832" s="5" t="str">
        <f t="shared" si="4"/>
        <v/>
      </c>
      <c r="J832" s="6" t="str">
        <f t="shared" si="2"/>
        <v/>
      </c>
      <c r="K832" s="6" t="str">
        <f t="shared" si="3"/>
        <v/>
      </c>
    </row>
    <row r="833">
      <c r="A833" s="5"/>
      <c r="B833" s="5"/>
      <c r="C833" s="5"/>
      <c r="D833" s="5"/>
      <c r="E833" s="5"/>
      <c r="F833" s="3"/>
      <c r="G833" s="5"/>
      <c r="H833" s="5"/>
      <c r="I833" s="5" t="str">
        <f t="shared" si="4"/>
        <v/>
      </c>
      <c r="J833" s="6" t="str">
        <f t="shared" si="2"/>
        <v/>
      </c>
      <c r="K833" s="6" t="str">
        <f t="shared" si="3"/>
        <v/>
      </c>
    </row>
    <row r="834">
      <c r="A834" s="5"/>
      <c r="B834" s="5"/>
      <c r="C834" s="5"/>
      <c r="D834" s="5"/>
      <c r="E834" s="5"/>
      <c r="F834" s="3"/>
      <c r="G834" s="5"/>
      <c r="H834" s="5"/>
      <c r="I834" s="5" t="str">
        <f t="shared" si="4"/>
        <v/>
      </c>
      <c r="J834" s="6" t="str">
        <f t="shared" si="2"/>
        <v/>
      </c>
      <c r="K834" s="6" t="str">
        <f t="shared" si="3"/>
        <v/>
      </c>
    </row>
    <row r="835">
      <c r="A835" s="5"/>
      <c r="B835" s="5"/>
      <c r="C835" s="5"/>
      <c r="D835" s="5"/>
      <c r="E835" s="5"/>
      <c r="F835" s="3"/>
      <c r="G835" s="5"/>
      <c r="H835" s="5"/>
      <c r="I835" s="5" t="str">
        <f t="shared" si="4"/>
        <v/>
      </c>
      <c r="J835" s="6" t="str">
        <f t="shared" si="2"/>
        <v/>
      </c>
      <c r="K835" s="6" t="str">
        <f t="shared" si="3"/>
        <v/>
      </c>
    </row>
    <row r="836">
      <c r="A836" s="5"/>
      <c r="B836" s="5"/>
      <c r="C836" s="5"/>
      <c r="D836" s="5"/>
      <c r="E836" s="5"/>
      <c r="F836" s="3"/>
      <c r="G836" s="5"/>
      <c r="H836" s="5"/>
      <c r="I836" s="5" t="str">
        <f t="shared" si="4"/>
        <v/>
      </c>
      <c r="J836" s="6" t="str">
        <f t="shared" si="2"/>
        <v/>
      </c>
      <c r="K836" s="6" t="str">
        <f t="shared" si="3"/>
        <v/>
      </c>
    </row>
    <row r="837">
      <c r="A837" s="5"/>
      <c r="B837" s="5"/>
      <c r="C837" s="5"/>
      <c r="D837" s="5"/>
      <c r="E837" s="5"/>
      <c r="F837" s="3"/>
      <c r="G837" s="5"/>
      <c r="H837" s="5"/>
      <c r="I837" s="5" t="str">
        <f t="shared" si="4"/>
        <v/>
      </c>
      <c r="J837" s="6" t="str">
        <f t="shared" si="2"/>
        <v/>
      </c>
      <c r="K837" s="6" t="str">
        <f t="shared" si="3"/>
        <v/>
      </c>
    </row>
    <row r="838">
      <c r="A838" s="5"/>
      <c r="B838" s="5"/>
      <c r="C838" s="5"/>
      <c r="D838" s="5"/>
      <c r="E838" s="5"/>
      <c r="F838" s="3"/>
      <c r="G838" s="5"/>
      <c r="H838" s="5"/>
      <c r="I838" s="5" t="str">
        <f t="shared" si="4"/>
        <v/>
      </c>
      <c r="J838" s="6" t="str">
        <f t="shared" si="2"/>
        <v/>
      </c>
      <c r="K838" s="6" t="str">
        <f t="shared" si="3"/>
        <v/>
      </c>
    </row>
    <row r="839">
      <c r="A839" s="5"/>
      <c r="B839" s="5"/>
      <c r="C839" s="5"/>
      <c r="D839" s="5"/>
      <c r="E839" s="5"/>
      <c r="F839" s="3"/>
      <c r="G839" s="5"/>
      <c r="H839" s="5"/>
      <c r="I839" s="5" t="str">
        <f t="shared" si="4"/>
        <v/>
      </c>
      <c r="J839" s="6" t="str">
        <f t="shared" si="2"/>
        <v/>
      </c>
      <c r="K839" s="6" t="str">
        <f t="shared" si="3"/>
        <v/>
      </c>
    </row>
    <row r="840">
      <c r="A840" s="5"/>
      <c r="B840" s="5"/>
      <c r="C840" s="5"/>
      <c r="D840" s="5"/>
      <c r="E840" s="5"/>
      <c r="F840" s="3"/>
      <c r="G840" s="5"/>
      <c r="H840" s="5"/>
      <c r="I840" s="5" t="str">
        <f t="shared" si="4"/>
        <v/>
      </c>
      <c r="J840" s="6" t="str">
        <f t="shared" si="2"/>
        <v/>
      </c>
      <c r="K840" s="6" t="str">
        <f t="shared" si="3"/>
        <v/>
      </c>
    </row>
    <row r="841">
      <c r="A841" s="5"/>
      <c r="B841" s="5"/>
      <c r="C841" s="5"/>
      <c r="D841" s="5"/>
      <c r="E841" s="5"/>
      <c r="F841" s="3"/>
      <c r="G841" s="5"/>
      <c r="H841" s="5"/>
      <c r="I841" s="5" t="str">
        <f t="shared" si="4"/>
        <v/>
      </c>
      <c r="J841" s="6" t="str">
        <f t="shared" si="2"/>
        <v/>
      </c>
      <c r="K841" s="6" t="str">
        <f t="shared" si="3"/>
        <v/>
      </c>
    </row>
    <row r="842">
      <c r="A842" s="5"/>
      <c r="B842" s="5"/>
      <c r="C842" s="5"/>
      <c r="D842" s="5"/>
      <c r="E842" s="5"/>
      <c r="F842" s="3"/>
      <c r="G842" s="5"/>
      <c r="H842" s="5"/>
      <c r="I842" s="5" t="str">
        <f t="shared" si="4"/>
        <v/>
      </c>
      <c r="J842" s="6" t="str">
        <f t="shared" si="2"/>
        <v/>
      </c>
      <c r="K842" s="6" t="str">
        <f t="shared" si="3"/>
        <v/>
      </c>
    </row>
    <row r="843">
      <c r="A843" s="5"/>
      <c r="B843" s="5"/>
      <c r="C843" s="5"/>
      <c r="D843" s="5"/>
      <c r="E843" s="5"/>
      <c r="F843" s="3"/>
      <c r="G843" s="5"/>
      <c r="H843" s="5"/>
      <c r="I843" s="5" t="str">
        <f t="shared" si="4"/>
        <v/>
      </c>
      <c r="J843" s="6" t="str">
        <f t="shared" si="2"/>
        <v/>
      </c>
      <c r="K843" s="6" t="str">
        <f t="shared" si="3"/>
        <v/>
      </c>
    </row>
    <row r="844">
      <c r="A844" s="5"/>
      <c r="B844" s="5"/>
      <c r="C844" s="5"/>
      <c r="D844" s="5"/>
      <c r="E844" s="5"/>
      <c r="F844" s="3"/>
      <c r="G844" s="5"/>
      <c r="H844" s="5"/>
      <c r="I844" s="5" t="str">
        <f t="shared" si="4"/>
        <v/>
      </c>
      <c r="J844" s="6" t="str">
        <f t="shared" si="2"/>
        <v/>
      </c>
      <c r="K844" s="6" t="str">
        <f t="shared" si="3"/>
        <v/>
      </c>
    </row>
    <row r="845">
      <c r="A845" s="5"/>
      <c r="B845" s="5"/>
      <c r="C845" s="5"/>
      <c r="D845" s="5"/>
      <c r="E845" s="5"/>
      <c r="F845" s="3"/>
      <c r="G845" s="5"/>
      <c r="H845" s="5"/>
      <c r="I845" s="5" t="str">
        <f t="shared" si="4"/>
        <v/>
      </c>
      <c r="J845" s="6" t="str">
        <f t="shared" si="2"/>
        <v/>
      </c>
      <c r="K845" s="6" t="str">
        <f t="shared" si="3"/>
        <v/>
      </c>
    </row>
    <row r="846">
      <c r="A846" s="5"/>
      <c r="B846" s="5"/>
      <c r="C846" s="5"/>
      <c r="D846" s="5"/>
      <c r="E846" s="5"/>
      <c r="F846" s="3"/>
      <c r="G846" s="5"/>
      <c r="H846" s="5"/>
      <c r="I846" s="5" t="str">
        <f t="shared" si="4"/>
        <v/>
      </c>
      <c r="J846" s="6" t="str">
        <f t="shared" si="2"/>
        <v/>
      </c>
      <c r="K846" s="6" t="str">
        <f t="shared" si="3"/>
        <v/>
      </c>
    </row>
    <row r="847">
      <c r="A847" s="5"/>
      <c r="B847" s="5"/>
      <c r="C847" s="5"/>
      <c r="D847" s="5"/>
      <c r="E847" s="5"/>
      <c r="F847" s="3"/>
      <c r="G847" s="5"/>
      <c r="H847" s="5"/>
      <c r="I847" s="5" t="str">
        <f t="shared" si="4"/>
        <v/>
      </c>
      <c r="J847" s="6" t="str">
        <f t="shared" si="2"/>
        <v/>
      </c>
      <c r="K847" s="6" t="str">
        <f t="shared" si="3"/>
        <v/>
      </c>
    </row>
    <row r="848">
      <c r="A848" s="5"/>
      <c r="B848" s="5"/>
      <c r="C848" s="5"/>
      <c r="D848" s="5"/>
      <c r="E848" s="5"/>
      <c r="F848" s="3"/>
      <c r="G848" s="5"/>
      <c r="H848" s="5"/>
      <c r="I848" s="5" t="str">
        <f t="shared" si="4"/>
        <v/>
      </c>
      <c r="J848" s="6" t="str">
        <f t="shared" si="2"/>
        <v/>
      </c>
      <c r="K848" s="6" t="str">
        <f t="shared" si="3"/>
        <v/>
      </c>
    </row>
    <row r="849">
      <c r="A849" s="5"/>
      <c r="B849" s="5"/>
      <c r="C849" s="5"/>
      <c r="D849" s="5"/>
      <c r="E849" s="5"/>
      <c r="F849" s="3"/>
      <c r="G849" s="5"/>
      <c r="H849" s="5"/>
      <c r="I849" s="5" t="str">
        <f t="shared" si="4"/>
        <v/>
      </c>
      <c r="J849" s="6" t="str">
        <f t="shared" si="2"/>
        <v/>
      </c>
      <c r="K849" s="6" t="str">
        <f t="shared" si="3"/>
        <v/>
      </c>
    </row>
    <row r="850">
      <c r="A850" s="5"/>
      <c r="B850" s="5"/>
      <c r="C850" s="5"/>
      <c r="D850" s="5"/>
      <c r="E850" s="5"/>
      <c r="F850" s="3"/>
      <c r="G850" s="5"/>
      <c r="H850" s="5"/>
      <c r="I850" s="5" t="str">
        <f t="shared" si="4"/>
        <v/>
      </c>
      <c r="J850" s="6" t="str">
        <f t="shared" si="2"/>
        <v/>
      </c>
      <c r="K850" s="6" t="str">
        <f t="shared" si="3"/>
        <v/>
      </c>
    </row>
    <row r="851">
      <c r="A851" s="5"/>
      <c r="B851" s="5"/>
      <c r="C851" s="5"/>
      <c r="D851" s="5"/>
      <c r="E851" s="5"/>
      <c r="F851" s="3"/>
      <c r="G851" s="5"/>
      <c r="H851" s="5"/>
      <c r="I851" s="5" t="str">
        <f t="shared" si="4"/>
        <v/>
      </c>
      <c r="J851" s="6" t="str">
        <f t="shared" si="2"/>
        <v/>
      </c>
      <c r="K851" s="6" t="str">
        <f t="shared" si="3"/>
        <v/>
      </c>
    </row>
    <row r="852">
      <c r="A852" s="5"/>
      <c r="B852" s="5"/>
      <c r="C852" s="5"/>
      <c r="D852" s="5"/>
      <c r="E852" s="5"/>
      <c r="F852" s="3"/>
      <c r="G852" s="5"/>
      <c r="H852" s="5"/>
      <c r="I852" s="5" t="str">
        <f t="shared" si="4"/>
        <v/>
      </c>
      <c r="J852" s="6" t="str">
        <f t="shared" si="2"/>
        <v/>
      </c>
      <c r="K852" s="6" t="str">
        <f t="shared" si="3"/>
        <v/>
      </c>
    </row>
    <row r="853">
      <c r="A853" s="5"/>
      <c r="B853" s="5"/>
      <c r="C853" s="5"/>
      <c r="D853" s="5"/>
      <c r="E853" s="5"/>
      <c r="F853" s="3"/>
      <c r="G853" s="5"/>
      <c r="H853" s="5"/>
      <c r="I853" s="5" t="str">
        <f t="shared" si="4"/>
        <v/>
      </c>
      <c r="J853" s="6" t="str">
        <f t="shared" si="2"/>
        <v/>
      </c>
      <c r="K853" s="6" t="str">
        <f t="shared" si="3"/>
        <v/>
      </c>
    </row>
    <row r="854">
      <c r="A854" s="5"/>
      <c r="B854" s="5"/>
      <c r="C854" s="5"/>
      <c r="D854" s="5"/>
      <c r="E854" s="5"/>
      <c r="F854" s="3"/>
      <c r="G854" s="5"/>
      <c r="H854" s="5"/>
      <c r="I854" s="5" t="str">
        <f t="shared" si="4"/>
        <v/>
      </c>
      <c r="J854" s="6" t="str">
        <f t="shared" si="2"/>
        <v/>
      </c>
      <c r="K854" s="6" t="str">
        <f t="shared" si="3"/>
        <v/>
      </c>
    </row>
    <row r="855">
      <c r="A855" s="5"/>
      <c r="B855" s="5"/>
      <c r="C855" s="5"/>
      <c r="D855" s="5"/>
      <c r="E855" s="5"/>
      <c r="F855" s="3"/>
      <c r="G855" s="5"/>
      <c r="H855" s="5"/>
      <c r="I855" s="5" t="str">
        <f t="shared" si="4"/>
        <v/>
      </c>
      <c r="J855" s="6" t="str">
        <f t="shared" si="2"/>
        <v/>
      </c>
      <c r="K855" s="6" t="str">
        <f t="shared" si="3"/>
        <v/>
      </c>
    </row>
    <row r="856">
      <c r="A856" s="5"/>
      <c r="B856" s="5"/>
      <c r="C856" s="5"/>
      <c r="D856" s="5"/>
      <c r="E856" s="5"/>
      <c r="F856" s="3"/>
      <c r="G856" s="5"/>
      <c r="H856" s="5"/>
      <c r="I856" s="5" t="str">
        <f t="shared" si="4"/>
        <v/>
      </c>
      <c r="J856" s="6" t="str">
        <f t="shared" si="2"/>
        <v/>
      </c>
      <c r="K856" s="6" t="str">
        <f t="shared" si="3"/>
        <v/>
      </c>
    </row>
    <row r="857">
      <c r="A857" s="5"/>
      <c r="B857" s="5"/>
      <c r="C857" s="5"/>
      <c r="D857" s="5"/>
      <c r="E857" s="5"/>
      <c r="F857" s="3"/>
      <c r="G857" s="5"/>
      <c r="H857" s="5"/>
      <c r="I857" s="5" t="str">
        <f t="shared" si="4"/>
        <v/>
      </c>
      <c r="J857" s="6" t="str">
        <f t="shared" si="2"/>
        <v/>
      </c>
      <c r="K857" s="6" t="str">
        <f t="shared" si="3"/>
        <v/>
      </c>
    </row>
    <row r="858">
      <c r="A858" s="5"/>
      <c r="B858" s="5"/>
      <c r="C858" s="5"/>
      <c r="D858" s="5"/>
      <c r="E858" s="5"/>
      <c r="F858" s="3"/>
      <c r="G858" s="5"/>
      <c r="H858" s="5"/>
      <c r="I858" s="5" t="str">
        <f t="shared" si="4"/>
        <v/>
      </c>
      <c r="J858" s="6" t="str">
        <f t="shared" si="2"/>
        <v/>
      </c>
      <c r="K858" s="6" t="str">
        <f t="shared" si="3"/>
        <v/>
      </c>
    </row>
    <row r="859">
      <c r="A859" s="5"/>
      <c r="B859" s="5"/>
      <c r="C859" s="5"/>
      <c r="D859" s="5"/>
      <c r="E859" s="5"/>
      <c r="F859" s="3"/>
      <c r="G859" s="5"/>
      <c r="H859" s="5"/>
      <c r="I859" s="5" t="str">
        <f t="shared" si="4"/>
        <v/>
      </c>
      <c r="J859" s="6" t="str">
        <f t="shared" si="2"/>
        <v/>
      </c>
      <c r="K859" s="6" t="str">
        <f t="shared" si="3"/>
        <v/>
      </c>
    </row>
    <row r="860">
      <c r="A860" s="5"/>
      <c r="B860" s="5"/>
      <c r="C860" s="5"/>
      <c r="D860" s="5"/>
      <c r="E860" s="5"/>
      <c r="F860" s="3"/>
      <c r="G860" s="5"/>
      <c r="H860" s="5"/>
      <c r="I860" s="5" t="str">
        <f t="shared" si="4"/>
        <v/>
      </c>
      <c r="J860" s="6" t="str">
        <f t="shared" si="2"/>
        <v/>
      </c>
      <c r="K860" s="6" t="str">
        <f t="shared" si="3"/>
        <v/>
      </c>
    </row>
    <row r="861">
      <c r="A861" s="5"/>
      <c r="B861" s="5"/>
      <c r="C861" s="5"/>
      <c r="D861" s="5"/>
      <c r="E861" s="5"/>
      <c r="F861" s="3"/>
      <c r="G861" s="5"/>
      <c r="H861" s="5"/>
      <c r="I861" s="5" t="str">
        <f t="shared" si="4"/>
        <v/>
      </c>
      <c r="J861" s="6" t="str">
        <f t="shared" si="2"/>
        <v/>
      </c>
      <c r="K861" s="6" t="str">
        <f t="shared" si="3"/>
        <v/>
      </c>
    </row>
    <row r="862">
      <c r="A862" s="5"/>
      <c r="B862" s="5"/>
      <c r="C862" s="5"/>
      <c r="D862" s="5"/>
      <c r="E862" s="5"/>
      <c r="F862" s="3"/>
      <c r="G862" s="5"/>
      <c r="H862" s="5"/>
      <c r="I862" s="5" t="str">
        <f t="shared" si="4"/>
        <v/>
      </c>
      <c r="J862" s="6" t="str">
        <f t="shared" si="2"/>
        <v/>
      </c>
      <c r="K862" s="6" t="str">
        <f t="shared" si="3"/>
        <v/>
      </c>
    </row>
    <row r="863">
      <c r="A863" s="5"/>
      <c r="B863" s="5"/>
      <c r="C863" s="5"/>
      <c r="D863" s="5"/>
      <c r="E863" s="5"/>
      <c r="F863" s="3"/>
      <c r="G863" s="5"/>
      <c r="H863" s="5"/>
      <c r="I863" s="5" t="str">
        <f t="shared" si="4"/>
        <v/>
      </c>
      <c r="J863" s="6" t="str">
        <f t="shared" si="2"/>
        <v/>
      </c>
      <c r="K863" s="6" t="str">
        <f t="shared" si="3"/>
        <v/>
      </c>
    </row>
    <row r="864">
      <c r="A864" s="5"/>
      <c r="B864" s="5"/>
      <c r="C864" s="5"/>
      <c r="D864" s="5"/>
      <c r="E864" s="5"/>
      <c r="F864" s="3"/>
      <c r="G864" s="5"/>
      <c r="H864" s="5"/>
      <c r="I864" s="5" t="str">
        <f t="shared" si="4"/>
        <v/>
      </c>
      <c r="J864" s="6" t="str">
        <f t="shared" si="2"/>
        <v/>
      </c>
      <c r="K864" s="6" t="str">
        <f t="shared" si="3"/>
        <v/>
      </c>
    </row>
    <row r="865">
      <c r="A865" s="5"/>
      <c r="B865" s="5"/>
      <c r="C865" s="5"/>
      <c r="D865" s="5"/>
      <c r="E865" s="5"/>
      <c r="F865" s="3"/>
      <c r="G865" s="5"/>
      <c r="H865" s="5"/>
      <c r="I865" s="5" t="str">
        <f t="shared" si="4"/>
        <v/>
      </c>
      <c r="J865" s="6" t="str">
        <f t="shared" si="2"/>
        <v/>
      </c>
      <c r="K865" s="6" t="str">
        <f t="shared" si="3"/>
        <v/>
      </c>
    </row>
    <row r="866">
      <c r="A866" s="5"/>
      <c r="B866" s="5"/>
      <c r="C866" s="5"/>
      <c r="D866" s="5"/>
      <c r="E866" s="5"/>
      <c r="F866" s="3"/>
      <c r="G866" s="5"/>
      <c r="H866" s="5"/>
      <c r="I866" s="5" t="str">
        <f t="shared" si="4"/>
        <v/>
      </c>
      <c r="J866" s="6" t="str">
        <f t="shared" si="2"/>
        <v/>
      </c>
      <c r="K866" s="6" t="str">
        <f t="shared" si="3"/>
        <v/>
      </c>
    </row>
    <row r="867">
      <c r="A867" s="5"/>
      <c r="B867" s="5"/>
      <c r="C867" s="5"/>
      <c r="D867" s="5"/>
      <c r="E867" s="5"/>
      <c r="F867" s="3"/>
      <c r="G867" s="5"/>
      <c r="H867" s="5"/>
      <c r="I867" s="5" t="str">
        <f t="shared" si="4"/>
        <v/>
      </c>
      <c r="J867" s="6" t="str">
        <f t="shared" si="2"/>
        <v/>
      </c>
      <c r="K867" s="6" t="str">
        <f t="shared" si="3"/>
        <v/>
      </c>
    </row>
    <row r="868">
      <c r="A868" s="5"/>
      <c r="B868" s="5"/>
      <c r="C868" s="5"/>
      <c r="D868" s="5"/>
      <c r="E868" s="5"/>
      <c r="F868" s="3"/>
      <c r="G868" s="5"/>
      <c r="H868" s="5"/>
      <c r="I868" s="5" t="str">
        <f t="shared" si="4"/>
        <v/>
      </c>
      <c r="J868" s="6" t="str">
        <f t="shared" si="2"/>
        <v/>
      </c>
      <c r="K868" s="6" t="str">
        <f t="shared" si="3"/>
        <v/>
      </c>
    </row>
    <row r="869">
      <c r="A869" s="5"/>
      <c r="B869" s="5"/>
      <c r="C869" s="5"/>
      <c r="D869" s="5"/>
      <c r="E869" s="5"/>
      <c r="F869" s="3"/>
      <c r="G869" s="5"/>
      <c r="H869" s="5"/>
      <c r="I869" s="5" t="str">
        <f t="shared" si="4"/>
        <v/>
      </c>
      <c r="J869" s="6" t="str">
        <f t="shared" si="2"/>
        <v/>
      </c>
      <c r="K869" s="6" t="str">
        <f t="shared" si="3"/>
        <v/>
      </c>
    </row>
    <row r="870">
      <c r="A870" s="5"/>
      <c r="B870" s="5"/>
      <c r="C870" s="5"/>
      <c r="D870" s="5"/>
      <c r="E870" s="5"/>
      <c r="F870" s="3"/>
      <c r="G870" s="5"/>
      <c r="H870" s="5"/>
      <c r="I870" s="5" t="str">
        <f t="shared" si="4"/>
        <v/>
      </c>
      <c r="J870" s="6" t="str">
        <f t="shared" si="2"/>
        <v/>
      </c>
      <c r="K870" s="6" t="str">
        <f t="shared" si="3"/>
        <v/>
      </c>
    </row>
    <row r="871">
      <c r="A871" s="5"/>
      <c r="B871" s="5"/>
      <c r="C871" s="5"/>
      <c r="D871" s="5"/>
      <c r="E871" s="5"/>
      <c r="F871" s="3"/>
      <c r="G871" s="5"/>
      <c r="H871" s="5"/>
      <c r="I871" s="5" t="str">
        <f t="shared" si="4"/>
        <v/>
      </c>
      <c r="J871" s="6" t="str">
        <f t="shared" si="2"/>
        <v/>
      </c>
      <c r="K871" s="6" t="str">
        <f t="shared" si="3"/>
        <v/>
      </c>
    </row>
    <row r="872">
      <c r="A872" s="5"/>
      <c r="B872" s="5"/>
      <c r="C872" s="5"/>
      <c r="D872" s="5"/>
      <c r="E872" s="5"/>
      <c r="F872" s="3"/>
      <c r="G872" s="5"/>
      <c r="H872" s="5"/>
      <c r="I872" s="5" t="str">
        <f t="shared" si="4"/>
        <v/>
      </c>
      <c r="J872" s="6" t="str">
        <f t="shared" si="2"/>
        <v/>
      </c>
      <c r="K872" s="6" t="str">
        <f t="shared" si="3"/>
        <v/>
      </c>
    </row>
    <row r="873">
      <c r="A873" s="5"/>
      <c r="B873" s="5"/>
      <c r="C873" s="5"/>
      <c r="D873" s="5"/>
      <c r="E873" s="5"/>
      <c r="F873" s="3"/>
      <c r="G873" s="5"/>
      <c r="H873" s="5"/>
      <c r="I873" s="5" t="str">
        <f t="shared" si="4"/>
        <v/>
      </c>
      <c r="J873" s="6" t="str">
        <f t="shared" si="2"/>
        <v/>
      </c>
      <c r="K873" s="6" t="str">
        <f t="shared" si="3"/>
        <v/>
      </c>
    </row>
    <row r="874">
      <c r="A874" s="5"/>
      <c r="B874" s="5"/>
      <c r="C874" s="5"/>
      <c r="D874" s="5"/>
      <c r="E874" s="5"/>
      <c r="F874" s="3"/>
      <c r="G874" s="5"/>
      <c r="H874" s="5"/>
      <c r="I874" s="5" t="str">
        <f t="shared" si="4"/>
        <v/>
      </c>
      <c r="J874" s="6" t="str">
        <f t="shared" si="2"/>
        <v/>
      </c>
      <c r="K874" s="6" t="str">
        <f t="shared" si="3"/>
        <v/>
      </c>
    </row>
    <row r="875">
      <c r="A875" s="5"/>
      <c r="B875" s="5"/>
      <c r="C875" s="5"/>
      <c r="D875" s="5"/>
      <c r="E875" s="5"/>
      <c r="F875" s="3"/>
      <c r="G875" s="5"/>
      <c r="H875" s="5"/>
      <c r="I875" s="5" t="str">
        <f t="shared" si="4"/>
        <v/>
      </c>
      <c r="J875" s="6" t="str">
        <f t="shared" si="2"/>
        <v/>
      </c>
      <c r="K875" s="6" t="str">
        <f t="shared" si="3"/>
        <v/>
      </c>
    </row>
    <row r="876">
      <c r="A876" s="5"/>
      <c r="B876" s="5"/>
      <c r="C876" s="5"/>
      <c r="D876" s="5"/>
      <c r="E876" s="5"/>
      <c r="F876" s="3"/>
      <c r="G876" s="5"/>
      <c r="H876" s="5"/>
      <c r="I876" s="5" t="str">
        <f t="shared" si="4"/>
        <v/>
      </c>
      <c r="J876" s="6" t="str">
        <f t="shared" si="2"/>
        <v/>
      </c>
      <c r="K876" s="6" t="str">
        <f t="shared" si="3"/>
        <v/>
      </c>
    </row>
    <row r="877">
      <c r="A877" s="5"/>
      <c r="B877" s="5"/>
      <c r="C877" s="5"/>
      <c r="D877" s="5"/>
      <c r="E877" s="5"/>
      <c r="F877" s="3"/>
      <c r="G877" s="5"/>
      <c r="H877" s="5"/>
      <c r="I877" s="5" t="str">
        <f t="shared" si="4"/>
        <v/>
      </c>
      <c r="J877" s="6" t="str">
        <f t="shared" si="2"/>
        <v/>
      </c>
      <c r="K877" s="6" t="str">
        <f t="shared" si="3"/>
        <v/>
      </c>
    </row>
    <row r="878">
      <c r="A878" s="5"/>
      <c r="B878" s="5"/>
      <c r="C878" s="5"/>
      <c r="D878" s="5"/>
      <c r="E878" s="5"/>
      <c r="F878" s="3"/>
      <c r="G878" s="5"/>
      <c r="H878" s="5"/>
      <c r="I878" s="5" t="str">
        <f t="shared" si="4"/>
        <v/>
      </c>
      <c r="J878" s="6" t="str">
        <f t="shared" si="2"/>
        <v/>
      </c>
      <c r="K878" s="6" t="str">
        <f t="shared" si="3"/>
        <v/>
      </c>
    </row>
    <row r="879">
      <c r="A879" s="5"/>
      <c r="B879" s="5"/>
      <c r="C879" s="5"/>
      <c r="D879" s="5"/>
      <c r="E879" s="5"/>
      <c r="F879" s="3"/>
      <c r="G879" s="5"/>
      <c r="H879" s="5"/>
      <c r="I879" s="5" t="str">
        <f t="shared" si="4"/>
        <v/>
      </c>
      <c r="J879" s="6" t="str">
        <f t="shared" si="2"/>
        <v/>
      </c>
      <c r="K879" s="6" t="str">
        <f t="shared" si="3"/>
        <v/>
      </c>
    </row>
    <row r="880">
      <c r="A880" s="5"/>
      <c r="B880" s="5"/>
      <c r="C880" s="5"/>
      <c r="D880" s="5"/>
      <c r="E880" s="5"/>
      <c r="F880" s="3"/>
      <c r="G880" s="5"/>
      <c r="H880" s="5"/>
      <c r="I880" s="5" t="str">
        <f t="shared" si="4"/>
        <v/>
      </c>
      <c r="J880" s="6" t="str">
        <f t="shared" si="2"/>
        <v/>
      </c>
      <c r="K880" s="6" t="str">
        <f t="shared" si="3"/>
        <v/>
      </c>
    </row>
    <row r="881">
      <c r="A881" s="5"/>
      <c r="B881" s="5"/>
      <c r="C881" s="5"/>
      <c r="D881" s="5"/>
      <c r="E881" s="5"/>
      <c r="F881" s="3"/>
      <c r="G881" s="5"/>
      <c r="H881" s="5"/>
      <c r="I881" s="5" t="str">
        <f t="shared" si="4"/>
        <v/>
      </c>
      <c r="J881" s="6" t="str">
        <f t="shared" si="2"/>
        <v/>
      </c>
      <c r="K881" s="6" t="str">
        <f t="shared" si="3"/>
        <v/>
      </c>
    </row>
    <row r="882">
      <c r="A882" s="5"/>
      <c r="B882" s="5"/>
      <c r="C882" s="5"/>
      <c r="D882" s="5"/>
      <c r="E882" s="5"/>
      <c r="F882" s="3"/>
      <c r="G882" s="5"/>
      <c r="H882" s="5"/>
      <c r="I882" s="5" t="str">
        <f t="shared" si="4"/>
        <v/>
      </c>
      <c r="J882" s="6" t="str">
        <f t="shared" si="2"/>
        <v/>
      </c>
      <c r="K882" s="6" t="str">
        <f t="shared" si="3"/>
        <v/>
      </c>
    </row>
    <row r="883">
      <c r="A883" s="5"/>
      <c r="B883" s="5"/>
      <c r="C883" s="5"/>
      <c r="D883" s="5"/>
      <c r="E883" s="5"/>
      <c r="F883" s="3"/>
      <c r="G883" s="5"/>
      <c r="H883" s="5"/>
      <c r="I883" s="5" t="str">
        <f t="shared" si="4"/>
        <v/>
      </c>
      <c r="J883" s="6" t="str">
        <f t="shared" si="2"/>
        <v/>
      </c>
      <c r="K883" s="6" t="str">
        <f t="shared" si="3"/>
        <v/>
      </c>
    </row>
    <row r="884">
      <c r="A884" s="5"/>
      <c r="B884" s="5"/>
      <c r="C884" s="5"/>
      <c r="D884" s="5"/>
      <c r="E884" s="5"/>
      <c r="F884" s="3"/>
      <c r="G884" s="5"/>
      <c r="H884" s="5"/>
      <c r="I884" s="5" t="str">
        <f t="shared" si="4"/>
        <v/>
      </c>
      <c r="J884" s="6" t="str">
        <f t="shared" si="2"/>
        <v/>
      </c>
      <c r="K884" s="6" t="str">
        <f t="shared" si="3"/>
        <v/>
      </c>
    </row>
    <row r="885">
      <c r="A885" s="5"/>
      <c r="B885" s="5"/>
      <c r="C885" s="5"/>
      <c r="D885" s="5"/>
      <c r="E885" s="5"/>
      <c r="F885" s="3"/>
      <c r="G885" s="5"/>
      <c r="H885" s="5"/>
      <c r="I885" s="5" t="str">
        <f t="shared" si="4"/>
        <v/>
      </c>
      <c r="J885" s="6" t="str">
        <f t="shared" si="2"/>
        <v/>
      </c>
      <c r="K885" s="6" t="str">
        <f t="shared" si="3"/>
        <v/>
      </c>
    </row>
    <row r="886">
      <c r="A886" s="5"/>
      <c r="B886" s="5"/>
      <c r="C886" s="5"/>
      <c r="D886" s="5"/>
      <c r="E886" s="5"/>
      <c r="F886" s="3"/>
      <c r="G886" s="5"/>
      <c r="H886" s="5"/>
      <c r="I886" s="5" t="str">
        <f t="shared" si="4"/>
        <v/>
      </c>
      <c r="J886" s="6" t="str">
        <f t="shared" si="2"/>
        <v/>
      </c>
      <c r="K886" s="6" t="str">
        <f t="shared" si="3"/>
        <v/>
      </c>
    </row>
    <row r="887">
      <c r="A887" s="5"/>
      <c r="B887" s="5"/>
      <c r="C887" s="5"/>
      <c r="D887" s="5"/>
      <c r="E887" s="5"/>
      <c r="F887" s="3"/>
      <c r="G887" s="5"/>
      <c r="H887" s="5"/>
      <c r="I887" s="5" t="str">
        <f t="shared" si="4"/>
        <v/>
      </c>
      <c r="J887" s="6" t="str">
        <f t="shared" si="2"/>
        <v/>
      </c>
      <c r="K887" s="6" t="str">
        <f t="shared" si="3"/>
        <v/>
      </c>
    </row>
    <row r="888">
      <c r="A888" s="5"/>
      <c r="B888" s="5"/>
      <c r="C888" s="5"/>
      <c r="D888" s="5"/>
      <c r="E888" s="5"/>
      <c r="F888" s="3"/>
      <c r="G888" s="5"/>
      <c r="H888" s="5"/>
      <c r="I888" s="5" t="str">
        <f t="shared" si="4"/>
        <v/>
      </c>
      <c r="J888" s="6" t="str">
        <f t="shared" si="2"/>
        <v/>
      </c>
      <c r="K888" s="6" t="str">
        <f t="shared" si="3"/>
        <v/>
      </c>
    </row>
    <row r="889">
      <c r="A889" s="5"/>
      <c r="B889" s="5"/>
      <c r="C889" s="5"/>
      <c r="D889" s="5"/>
      <c r="E889" s="5"/>
      <c r="F889" s="3"/>
      <c r="G889" s="5"/>
      <c r="H889" s="5"/>
      <c r="I889" s="5" t="str">
        <f t="shared" si="4"/>
        <v/>
      </c>
      <c r="J889" s="6" t="str">
        <f t="shared" si="2"/>
        <v/>
      </c>
      <c r="K889" s="6" t="str">
        <f t="shared" si="3"/>
        <v/>
      </c>
    </row>
    <row r="890">
      <c r="A890" s="5"/>
      <c r="B890" s="5"/>
      <c r="C890" s="5"/>
      <c r="D890" s="5"/>
      <c r="E890" s="5"/>
      <c r="F890" s="3"/>
      <c r="G890" s="5"/>
      <c r="H890" s="5"/>
      <c r="I890" s="5" t="str">
        <f t="shared" si="4"/>
        <v/>
      </c>
      <c r="J890" s="6" t="str">
        <f t="shared" si="2"/>
        <v/>
      </c>
      <c r="K890" s="6" t="str">
        <f t="shared" si="3"/>
        <v/>
      </c>
    </row>
    <row r="891">
      <c r="A891" s="5"/>
      <c r="B891" s="5"/>
      <c r="C891" s="5"/>
      <c r="D891" s="5"/>
      <c r="E891" s="5"/>
      <c r="F891" s="3"/>
      <c r="G891" s="5"/>
      <c r="H891" s="5"/>
      <c r="I891" s="5" t="str">
        <f t="shared" si="4"/>
        <v/>
      </c>
      <c r="J891" s="6" t="str">
        <f t="shared" si="2"/>
        <v/>
      </c>
      <c r="K891" s="6" t="str">
        <f t="shared" si="3"/>
        <v/>
      </c>
    </row>
    <row r="892">
      <c r="A892" s="5"/>
      <c r="B892" s="5"/>
      <c r="C892" s="5"/>
      <c r="D892" s="5"/>
      <c r="E892" s="5"/>
      <c r="F892" s="3"/>
      <c r="G892" s="5"/>
      <c r="H892" s="5"/>
      <c r="I892" s="5" t="str">
        <f t="shared" si="4"/>
        <v/>
      </c>
      <c r="J892" s="6" t="str">
        <f t="shared" si="2"/>
        <v/>
      </c>
      <c r="K892" s="6" t="str">
        <f t="shared" si="3"/>
        <v/>
      </c>
    </row>
    <row r="893">
      <c r="A893" s="5"/>
      <c r="B893" s="5"/>
      <c r="C893" s="5"/>
      <c r="D893" s="5"/>
      <c r="E893" s="5"/>
      <c r="F893" s="3"/>
      <c r="G893" s="5"/>
      <c r="H893" s="5"/>
      <c r="I893" s="5" t="str">
        <f t="shared" si="4"/>
        <v/>
      </c>
      <c r="J893" s="6" t="str">
        <f t="shared" si="2"/>
        <v/>
      </c>
      <c r="K893" s="6" t="str">
        <f t="shared" si="3"/>
        <v/>
      </c>
    </row>
    <row r="894">
      <c r="A894" s="5"/>
      <c r="B894" s="5"/>
      <c r="C894" s="5"/>
      <c r="D894" s="5"/>
      <c r="E894" s="5"/>
      <c r="F894" s="3"/>
      <c r="G894" s="5"/>
      <c r="H894" s="5"/>
      <c r="I894" s="5" t="str">
        <f t="shared" si="4"/>
        <v/>
      </c>
      <c r="J894" s="6" t="str">
        <f t="shared" si="2"/>
        <v/>
      </c>
      <c r="K894" s="6" t="str">
        <f t="shared" si="3"/>
        <v/>
      </c>
    </row>
    <row r="895">
      <c r="A895" s="5"/>
      <c r="B895" s="5"/>
      <c r="C895" s="5"/>
      <c r="D895" s="5"/>
      <c r="E895" s="5"/>
      <c r="F895" s="3"/>
      <c r="G895" s="5"/>
      <c r="H895" s="5"/>
      <c r="I895" s="5" t="str">
        <f t="shared" si="4"/>
        <v/>
      </c>
      <c r="J895" s="6" t="str">
        <f t="shared" si="2"/>
        <v/>
      </c>
      <c r="K895" s="6" t="str">
        <f t="shared" si="3"/>
        <v/>
      </c>
    </row>
    <row r="896">
      <c r="A896" s="5"/>
      <c r="B896" s="5"/>
      <c r="C896" s="5"/>
      <c r="D896" s="5"/>
      <c r="E896" s="5"/>
      <c r="F896" s="3"/>
      <c r="G896" s="5"/>
      <c r="H896" s="5"/>
      <c r="I896" s="5" t="str">
        <f t="shared" si="4"/>
        <v/>
      </c>
      <c r="J896" s="6" t="str">
        <f t="shared" si="2"/>
        <v/>
      </c>
      <c r="K896" s="6" t="str">
        <f t="shared" si="3"/>
        <v/>
      </c>
    </row>
    <row r="897">
      <c r="A897" s="5"/>
      <c r="B897" s="5"/>
      <c r="C897" s="5"/>
      <c r="D897" s="5"/>
      <c r="E897" s="5"/>
      <c r="F897" s="3"/>
      <c r="G897" s="5"/>
      <c r="H897" s="5"/>
      <c r="I897" s="5" t="str">
        <f t="shared" si="4"/>
        <v/>
      </c>
      <c r="J897" s="6" t="str">
        <f t="shared" si="2"/>
        <v/>
      </c>
      <c r="K897" s="6" t="str">
        <f t="shared" si="3"/>
        <v/>
      </c>
    </row>
    <row r="898">
      <c r="A898" s="5"/>
      <c r="B898" s="5"/>
      <c r="C898" s="5"/>
      <c r="D898" s="5"/>
      <c r="E898" s="5"/>
      <c r="F898" s="3"/>
      <c r="G898" s="5"/>
      <c r="H898" s="5"/>
      <c r="I898" s="5" t="str">
        <f t="shared" si="4"/>
        <v/>
      </c>
      <c r="J898" s="6" t="str">
        <f t="shared" si="2"/>
        <v/>
      </c>
      <c r="K898" s="6" t="str">
        <f t="shared" si="3"/>
        <v/>
      </c>
    </row>
    <row r="899">
      <c r="A899" s="5"/>
      <c r="B899" s="5"/>
      <c r="C899" s="5"/>
      <c r="D899" s="5"/>
      <c r="E899" s="5"/>
      <c r="F899" s="3"/>
      <c r="G899" s="5"/>
      <c r="H899" s="5"/>
      <c r="I899" s="5" t="str">
        <f t="shared" si="4"/>
        <v/>
      </c>
      <c r="J899" s="6" t="str">
        <f t="shared" si="2"/>
        <v/>
      </c>
      <c r="K899" s="6" t="str">
        <f t="shared" si="3"/>
        <v/>
      </c>
    </row>
    <row r="900">
      <c r="A900" s="5"/>
      <c r="B900" s="5"/>
      <c r="C900" s="5"/>
      <c r="D900" s="5"/>
      <c r="E900" s="5"/>
      <c r="F900" s="3"/>
      <c r="G900" s="5"/>
      <c r="H900" s="5"/>
      <c r="I900" s="5" t="str">
        <f t="shared" si="4"/>
        <v/>
      </c>
      <c r="J900" s="6" t="str">
        <f t="shared" si="2"/>
        <v/>
      </c>
      <c r="K900" s="6" t="str">
        <f t="shared" si="3"/>
        <v/>
      </c>
    </row>
    <row r="901">
      <c r="A901" s="5"/>
      <c r="B901" s="5"/>
      <c r="C901" s="5"/>
      <c r="D901" s="5"/>
      <c r="E901" s="5"/>
      <c r="F901" s="3"/>
      <c r="G901" s="5"/>
      <c r="H901" s="5"/>
      <c r="I901" s="5" t="str">
        <f t="shared" si="4"/>
        <v/>
      </c>
      <c r="J901" s="6" t="str">
        <f t="shared" si="2"/>
        <v/>
      </c>
      <c r="K901" s="6" t="str">
        <f t="shared" si="3"/>
        <v/>
      </c>
    </row>
    <row r="902">
      <c r="A902" s="5"/>
      <c r="B902" s="5"/>
      <c r="C902" s="5"/>
      <c r="D902" s="5"/>
      <c r="E902" s="5"/>
      <c r="F902" s="3"/>
      <c r="G902" s="5"/>
      <c r="H902" s="5"/>
      <c r="I902" s="5" t="str">
        <f t="shared" si="4"/>
        <v/>
      </c>
      <c r="J902" s="6" t="str">
        <f t="shared" si="2"/>
        <v/>
      </c>
      <c r="K902" s="6" t="str">
        <f t="shared" si="3"/>
        <v/>
      </c>
    </row>
    <row r="903">
      <c r="A903" s="5"/>
      <c r="B903" s="5"/>
      <c r="C903" s="5"/>
      <c r="D903" s="5"/>
      <c r="E903" s="5"/>
      <c r="F903" s="3"/>
      <c r="G903" s="5"/>
      <c r="H903" s="5"/>
      <c r="I903" s="5" t="str">
        <f t="shared" si="4"/>
        <v/>
      </c>
      <c r="J903" s="6" t="str">
        <f t="shared" si="2"/>
        <v/>
      </c>
      <c r="K903" s="6" t="str">
        <f t="shared" si="3"/>
        <v/>
      </c>
    </row>
    <row r="904">
      <c r="A904" s="5"/>
      <c r="B904" s="5"/>
      <c r="C904" s="5"/>
      <c r="D904" s="5"/>
      <c r="E904" s="5"/>
      <c r="F904" s="3"/>
      <c r="G904" s="5"/>
      <c r="H904" s="5"/>
      <c r="I904" s="5" t="str">
        <f t="shared" si="4"/>
        <v/>
      </c>
      <c r="J904" s="6" t="str">
        <f t="shared" si="2"/>
        <v/>
      </c>
      <c r="K904" s="6" t="str">
        <f t="shared" si="3"/>
        <v/>
      </c>
    </row>
    <row r="905">
      <c r="A905" s="5"/>
      <c r="B905" s="5"/>
      <c r="C905" s="5"/>
      <c r="D905" s="5"/>
      <c r="E905" s="5"/>
      <c r="F905" s="3"/>
      <c r="G905" s="5"/>
      <c r="H905" s="5"/>
      <c r="I905" s="5" t="str">
        <f t="shared" si="4"/>
        <v/>
      </c>
      <c r="J905" s="6" t="str">
        <f t="shared" si="2"/>
        <v/>
      </c>
      <c r="K905" s="6" t="str">
        <f t="shared" si="3"/>
        <v/>
      </c>
    </row>
    <row r="906">
      <c r="A906" s="5"/>
      <c r="B906" s="5"/>
      <c r="C906" s="5"/>
      <c r="D906" s="5"/>
      <c r="E906" s="5"/>
      <c r="F906" s="3"/>
      <c r="G906" s="5"/>
      <c r="H906" s="5"/>
      <c r="I906" s="5" t="str">
        <f t="shared" si="4"/>
        <v/>
      </c>
      <c r="J906" s="6" t="str">
        <f t="shared" si="2"/>
        <v/>
      </c>
      <c r="K906" s="6" t="str">
        <f t="shared" si="3"/>
        <v/>
      </c>
    </row>
    <row r="907">
      <c r="A907" s="5"/>
      <c r="B907" s="5"/>
      <c r="C907" s="5"/>
      <c r="D907" s="5"/>
      <c r="E907" s="5"/>
      <c r="F907" s="3"/>
      <c r="G907" s="5"/>
      <c r="H907" s="5"/>
      <c r="I907" s="5" t="str">
        <f t="shared" si="4"/>
        <v/>
      </c>
      <c r="J907" s="6" t="str">
        <f t="shared" si="2"/>
        <v/>
      </c>
      <c r="K907" s="6" t="str">
        <f t="shared" si="3"/>
        <v/>
      </c>
    </row>
    <row r="908">
      <c r="A908" s="5"/>
      <c r="B908" s="5"/>
      <c r="C908" s="5"/>
      <c r="D908" s="5"/>
      <c r="E908" s="5"/>
      <c r="F908" s="3"/>
      <c r="G908" s="5"/>
      <c r="H908" s="5"/>
      <c r="I908" s="5" t="str">
        <f t="shared" si="4"/>
        <v/>
      </c>
      <c r="J908" s="6" t="str">
        <f t="shared" si="2"/>
        <v/>
      </c>
      <c r="K908" s="6" t="str">
        <f t="shared" si="3"/>
        <v/>
      </c>
    </row>
    <row r="909">
      <c r="A909" s="5"/>
      <c r="B909" s="5"/>
      <c r="C909" s="5"/>
      <c r="D909" s="5"/>
      <c r="E909" s="5"/>
      <c r="F909" s="3"/>
      <c r="G909" s="5"/>
      <c r="H909" s="5"/>
      <c r="I909" s="5" t="str">
        <f t="shared" si="4"/>
        <v/>
      </c>
      <c r="J909" s="6" t="str">
        <f t="shared" si="2"/>
        <v/>
      </c>
      <c r="K909" s="6" t="str">
        <f t="shared" si="3"/>
        <v/>
      </c>
    </row>
    <row r="910">
      <c r="A910" s="5"/>
      <c r="B910" s="5"/>
      <c r="C910" s="5"/>
      <c r="D910" s="5"/>
      <c r="E910" s="5"/>
      <c r="F910" s="3"/>
      <c r="G910" s="5"/>
      <c r="H910" s="5"/>
      <c r="I910" s="5" t="str">
        <f t="shared" si="4"/>
        <v/>
      </c>
      <c r="J910" s="6" t="str">
        <f t="shared" si="2"/>
        <v/>
      </c>
      <c r="K910" s="6" t="str">
        <f t="shared" si="3"/>
        <v/>
      </c>
    </row>
    <row r="911">
      <c r="A911" s="5"/>
      <c r="B911" s="5"/>
      <c r="C911" s="5"/>
      <c r="D911" s="5"/>
      <c r="E911" s="5"/>
      <c r="F911" s="3"/>
      <c r="G911" s="5"/>
      <c r="H911" s="5"/>
      <c r="I911" s="5" t="str">
        <f t="shared" si="4"/>
        <v/>
      </c>
      <c r="J911" s="6" t="str">
        <f t="shared" si="2"/>
        <v/>
      </c>
      <c r="K911" s="6" t="str">
        <f t="shared" si="3"/>
        <v/>
      </c>
    </row>
    <row r="912">
      <c r="A912" s="5"/>
      <c r="B912" s="5"/>
      <c r="C912" s="5"/>
      <c r="D912" s="5"/>
      <c r="E912" s="5"/>
      <c r="F912" s="3"/>
      <c r="G912" s="5"/>
      <c r="H912" s="5"/>
      <c r="I912" s="5" t="str">
        <f t="shared" si="4"/>
        <v/>
      </c>
      <c r="J912" s="6" t="str">
        <f t="shared" si="2"/>
        <v/>
      </c>
      <c r="K912" s="6" t="str">
        <f t="shared" si="3"/>
        <v/>
      </c>
    </row>
    <row r="913">
      <c r="A913" s="5"/>
      <c r="B913" s="5"/>
      <c r="C913" s="5"/>
      <c r="D913" s="5"/>
      <c r="E913" s="5"/>
      <c r="F913" s="3"/>
      <c r="G913" s="5"/>
      <c r="H913" s="5"/>
      <c r="I913" s="5" t="str">
        <f t="shared" si="4"/>
        <v/>
      </c>
      <c r="J913" s="6" t="str">
        <f t="shared" si="2"/>
        <v/>
      </c>
      <c r="K913" s="6" t="str">
        <f t="shared" si="3"/>
        <v/>
      </c>
    </row>
    <row r="914">
      <c r="A914" s="5"/>
      <c r="B914" s="5"/>
      <c r="C914" s="5"/>
      <c r="D914" s="5"/>
      <c r="E914" s="5"/>
      <c r="F914" s="3"/>
      <c r="G914" s="5"/>
      <c r="H914" s="5"/>
      <c r="I914" s="5" t="str">
        <f t="shared" si="4"/>
        <v/>
      </c>
      <c r="J914" s="6" t="str">
        <f t="shared" si="2"/>
        <v/>
      </c>
      <c r="K914" s="6" t="str">
        <f t="shared" si="3"/>
        <v/>
      </c>
    </row>
    <row r="915">
      <c r="A915" s="5"/>
      <c r="B915" s="5"/>
      <c r="C915" s="5"/>
      <c r="D915" s="5"/>
      <c r="E915" s="5"/>
      <c r="F915" s="3"/>
      <c r="G915" s="5"/>
      <c r="H915" s="5"/>
      <c r="I915" s="5" t="str">
        <f t="shared" si="4"/>
        <v/>
      </c>
      <c r="J915" s="6" t="str">
        <f t="shared" si="2"/>
        <v/>
      </c>
      <c r="K915" s="6" t="str">
        <f t="shared" si="3"/>
        <v/>
      </c>
    </row>
    <row r="916">
      <c r="A916" s="5"/>
      <c r="B916" s="5"/>
      <c r="C916" s="5"/>
      <c r="D916" s="5"/>
      <c r="E916" s="5"/>
      <c r="F916" s="3"/>
      <c r="G916" s="5"/>
      <c r="H916" s="5"/>
      <c r="I916" s="5" t="str">
        <f t="shared" si="4"/>
        <v/>
      </c>
      <c r="J916" s="6" t="str">
        <f t="shared" si="2"/>
        <v/>
      </c>
      <c r="K916" s="6" t="str">
        <f t="shared" si="3"/>
        <v/>
      </c>
    </row>
    <row r="917">
      <c r="A917" s="5"/>
      <c r="B917" s="5"/>
      <c r="C917" s="5"/>
      <c r="D917" s="5"/>
      <c r="E917" s="5"/>
      <c r="F917" s="3"/>
      <c r="G917" s="5"/>
      <c r="H917" s="5"/>
      <c r="I917" s="5" t="str">
        <f t="shared" si="4"/>
        <v/>
      </c>
      <c r="J917" s="6" t="str">
        <f t="shared" si="2"/>
        <v/>
      </c>
      <c r="K917" s="6" t="str">
        <f t="shared" si="3"/>
        <v/>
      </c>
    </row>
    <row r="918">
      <c r="A918" s="5"/>
      <c r="B918" s="5"/>
      <c r="C918" s="5"/>
      <c r="D918" s="5"/>
      <c r="E918" s="5"/>
      <c r="F918" s="3"/>
      <c r="G918" s="5"/>
      <c r="H918" s="5"/>
      <c r="I918" s="5" t="str">
        <f t="shared" si="4"/>
        <v/>
      </c>
      <c r="J918" s="6" t="str">
        <f t="shared" si="2"/>
        <v/>
      </c>
      <c r="K918" s="6" t="str">
        <f t="shared" si="3"/>
        <v/>
      </c>
    </row>
    <row r="919">
      <c r="A919" s="5"/>
      <c r="B919" s="5"/>
      <c r="C919" s="5"/>
      <c r="D919" s="5"/>
      <c r="E919" s="5"/>
      <c r="F919" s="3"/>
      <c r="G919" s="5"/>
      <c r="H919" s="5"/>
      <c r="I919" s="5" t="str">
        <f t="shared" si="4"/>
        <v/>
      </c>
      <c r="J919" s="6" t="str">
        <f t="shared" si="2"/>
        <v/>
      </c>
      <c r="K919" s="6" t="str">
        <f t="shared" si="3"/>
        <v/>
      </c>
    </row>
    <row r="920">
      <c r="A920" s="5"/>
      <c r="B920" s="5"/>
      <c r="C920" s="5"/>
      <c r="D920" s="5"/>
      <c r="E920" s="5"/>
      <c r="F920" s="3"/>
      <c r="G920" s="5"/>
      <c r="H920" s="5"/>
      <c r="I920" s="5" t="str">
        <f t="shared" si="4"/>
        <v/>
      </c>
      <c r="J920" s="6" t="str">
        <f t="shared" si="2"/>
        <v/>
      </c>
      <c r="K920" s="6" t="str">
        <f t="shared" si="3"/>
        <v/>
      </c>
    </row>
    <row r="921">
      <c r="A921" s="5"/>
      <c r="B921" s="5"/>
      <c r="C921" s="5"/>
      <c r="D921" s="5"/>
      <c r="E921" s="5"/>
      <c r="F921" s="3"/>
      <c r="G921" s="5"/>
      <c r="H921" s="5"/>
      <c r="I921" s="5" t="str">
        <f t="shared" si="4"/>
        <v/>
      </c>
      <c r="J921" s="6" t="str">
        <f t="shared" si="2"/>
        <v/>
      </c>
      <c r="K921" s="6" t="str">
        <f t="shared" si="3"/>
        <v/>
      </c>
    </row>
    <row r="922">
      <c r="A922" s="5"/>
      <c r="B922" s="5"/>
      <c r="C922" s="5"/>
      <c r="D922" s="5"/>
      <c r="E922" s="5"/>
      <c r="F922" s="3"/>
      <c r="G922" s="5"/>
      <c r="H922" s="5"/>
      <c r="I922" s="5" t="str">
        <f t="shared" si="4"/>
        <v/>
      </c>
      <c r="J922" s="6" t="str">
        <f t="shared" si="2"/>
        <v/>
      </c>
      <c r="K922" s="6" t="str">
        <f t="shared" si="3"/>
        <v/>
      </c>
    </row>
    <row r="923">
      <c r="A923" s="5"/>
      <c r="B923" s="5"/>
      <c r="C923" s="5"/>
      <c r="D923" s="5"/>
      <c r="E923" s="5"/>
      <c r="F923" s="3"/>
      <c r="G923" s="5"/>
      <c r="H923" s="5"/>
      <c r="I923" s="5" t="str">
        <f t="shared" si="4"/>
        <v/>
      </c>
      <c r="J923" s="6" t="str">
        <f t="shared" si="2"/>
        <v/>
      </c>
      <c r="K923" s="6" t="str">
        <f t="shared" si="3"/>
        <v/>
      </c>
    </row>
    <row r="924">
      <c r="A924" s="5"/>
      <c r="B924" s="5"/>
      <c r="C924" s="5"/>
      <c r="D924" s="5"/>
      <c r="E924" s="5"/>
      <c r="F924" s="3"/>
      <c r="G924" s="5"/>
      <c r="H924" s="5"/>
      <c r="I924" s="5" t="str">
        <f t="shared" si="4"/>
        <v/>
      </c>
      <c r="J924" s="6" t="str">
        <f t="shared" si="2"/>
        <v/>
      </c>
      <c r="K924" s="6" t="str">
        <f t="shared" si="3"/>
        <v/>
      </c>
    </row>
    <row r="925">
      <c r="A925" s="5"/>
      <c r="B925" s="5"/>
      <c r="C925" s="5"/>
      <c r="D925" s="5"/>
      <c r="E925" s="5"/>
      <c r="F925" s="3"/>
      <c r="G925" s="5"/>
      <c r="H925" s="5"/>
      <c r="I925" s="5" t="str">
        <f t="shared" si="4"/>
        <v/>
      </c>
      <c r="J925" s="6" t="str">
        <f t="shared" si="2"/>
        <v/>
      </c>
      <c r="K925" s="6" t="str">
        <f t="shared" si="3"/>
        <v/>
      </c>
    </row>
    <row r="926">
      <c r="A926" s="5"/>
      <c r="B926" s="5"/>
      <c r="C926" s="5"/>
      <c r="D926" s="5"/>
      <c r="E926" s="5"/>
      <c r="F926" s="3"/>
      <c r="G926" s="5"/>
      <c r="H926" s="5"/>
      <c r="I926" s="5" t="str">
        <f t="shared" si="4"/>
        <v/>
      </c>
      <c r="J926" s="6" t="str">
        <f t="shared" si="2"/>
        <v/>
      </c>
      <c r="K926" s="6" t="str">
        <f t="shared" si="3"/>
        <v/>
      </c>
    </row>
    <row r="927">
      <c r="A927" s="5"/>
      <c r="B927" s="5"/>
      <c r="C927" s="5"/>
      <c r="D927" s="5"/>
      <c r="E927" s="5"/>
      <c r="F927" s="3"/>
      <c r="G927" s="5"/>
      <c r="H927" s="5"/>
      <c r="I927" s="5" t="str">
        <f t="shared" si="4"/>
        <v/>
      </c>
      <c r="J927" s="6" t="str">
        <f t="shared" si="2"/>
        <v/>
      </c>
      <c r="K927" s="6" t="str">
        <f t="shared" si="3"/>
        <v/>
      </c>
    </row>
    <row r="928">
      <c r="A928" s="5"/>
      <c r="B928" s="5"/>
      <c r="C928" s="5"/>
      <c r="D928" s="5"/>
      <c r="E928" s="5"/>
      <c r="F928" s="3"/>
      <c r="G928" s="5"/>
      <c r="H928" s="5"/>
      <c r="I928" s="5" t="str">
        <f t="shared" si="4"/>
        <v/>
      </c>
      <c r="J928" s="6" t="str">
        <f t="shared" si="2"/>
        <v/>
      </c>
      <c r="K928" s="6" t="str">
        <f t="shared" si="3"/>
        <v/>
      </c>
    </row>
    <row r="929">
      <c r="A929" s="5"/>
      <c r="B929" s="5"/>
      <c r="C929" s="5"/>
      <c r="D929" s="5"/>
      <c r="E929" s="5"/>
      <c r="F929" s="3"/>
      <c r="G929" s="5"/>
      <c r="H929" s="5"/>
      <c r="I929" s="5" t="str">
        <f t="shared" si="4"/>
        <v/>
      </c>
      <c r="J929" s="6" t="str">
        <f t="shared" si="2"/>
        <v/>
      </c>
      <c r="K929" s="6" t="str">
        <f t="shared" si="3"/>
        <v/>
      </c>
    </row>
    <row r="930">
      <c r="A930" s="5"/>
      <c r="B930" s="5"/>
      <c r="C930" s="5"/>
      <c r="D930" s="5"/>
      <c r="E930" s="5"/>
      <c r="F930" s="3"/>
      <c r="G930" s="5"/>
      <c r="H930" s="5"/>
      <c r="I930" s="5" t="str">
        <f t="shared" si="4"/>
        <v/>
      </c>
      <c r="J930" s="6" t="str">
        <f t="shared" si="2"/>
        <v/>
      </c>
      <c r="K930" s="6" t="str">
        <f t="shared" si="3"/>
        <v/>
      </c>
    </row>
    <row r="931">
      <c r="A931" s="5"/>
      <c r="B931" s="5"/>
      <c r="C931" s="5"/>
      <c r="D931" s="5"/>
      <c r="E931" s="5"/>
      <c r="F931" s="3"/>
      <c r="G931" s="5"/>
      <c r="H931" s="5"/>
      <c r="I931" s="5" t="str">
        <f t="shared" si="4"/>
        <v/>
      </c>
      <c r="J931" s="6" t="str">
        <f t="shared" si="2"/>
        <v/>
      </c>
      <c r="K931" s="6" t="str">
        <f t="shared" si="3"/>
        <v/>
      </c>
    </row>
    <row r="932">
      <c r="A932" s="5"/>
      <c r="B932" s="5"/>
      <c r="C932" s="5"/>
      <c r="D932" s="5"/>
      <c r="E932" s="5"/>
      <c r="F932" s="3"/>
      <c r="G932" s="5"/>
      <c r="H932" s="5"/>
      <c r="I932" s="5" t="str">
        <f t="shared" si="4"/>
        <v/>
      </c>
      <c r="J932" s="6" t="str">
        <f t="shared" si="2"/>
        <v/>
      </c>
      <c r="K932" s="6" t="str">
        <f t="shared" si="3"/>
        <v/>
      </c>
    </row>
    <row r="933">
      <c r="A933" s="5"/>
      <c r="B933" s="5"/>
      <c r="C933" s="5"/>
      <c r="D933" s="5"/>
      <c r="E933" s="5"/>
      <c r="F933" s="3"/>
      <c r="G933" s="5"/>
      <c r="H933" s="5"/>
      <c r="I933" s="5" t="str">
        <f t="shared" si="4"/>
        <v/>
      </c>
      <c r="J933" s="6" t="str">
        <f t="shared" si="2"/>
        <v/>
      </c>
      <c r="K933" s="6" t="str">
        <f t="shared" si="3"/>
        <v/>
      </c>
    </row>
    <row r="934">
      <c r="A934" s="5"/>
      <c r="B934" s="5"/>
      <c r="C934" s="5"/>
      <c r="D934" s="5"/>
      <c r="E934" s="5"/>
      <c r="F934" s="3"/>
      <c r="G934" s="5"/>
      <c r="H934" s="5"/>
      <c r="I934" s="5" t="str">
        <f t="shared" si="4"/>
        <v/>
      </c>
      <c r="J934" s="6" t="str">
        <f t="shared" si="2"/>
        <v/>
      </c>
      <c r="K934" s="6" t="str">
        <f t="shared" si="3"/>
        <v/>
      </c>
    </row>
    <row r="935">
      <c r="A935" s="5"/>
      <c r="B935" s="5"/>
      <c r="C935" s="5"/>
      <c r="D935" s="5"/>
      <c r="E935" s="5"/>
      <c r="F935" s="3"/>
      <c r="G935" s="5"/>
      <c r="H935" s="5"/>
      <c r="I935" s="5" t="str">
        <f t="shared" si="4"/>
        <v/>
      </c>
      <c r="J935" s="6" t="str">
        <f t="shared" si="2"/>
        <v/>
      </c>
      <c r="K935" s="6" t="str">
        <f t="shared" si="3"/>
        <v/>
      </c>
    </row>
    <row r="936">
      <c r="A936" s="5"/>
      <c r="B936" s="5"/>
      <c r="C936" s="5"/>
      <c r="D936" s="5"/>
      <c r="E936" s="5"/>
      <c r="F936" s="3"/>
      <c r="G936" s="5"/>
      <c r="H936" s="5"/>
      <c r="I936" s="5" t="str">
        <f t="shared" si="4"/>
        <v/>
      </c>
      <c r="J936" s="6" t="str">
        <f t="shared" si="2"/>
        <v/>
      </c>
      <c r="K936" s="6" t="str">
        <f t="shared" si="3"/>
        <v/>
      </c>
    </row>
    <row r="937">
      <c r="A937" s="5"/>
      <c r="B937" s="5"/>
      <c r="C937" s="5"/>
      <c r="D937" s="5"/>
      <c r="E937" s="5"/>
      <c r="F937" s="3"/>
      <c r="G937" s="5"/>
      <c r="H937" s="5"/>
      <c r="I937" s="5" t="str">
        <f t="shared" si="4"/>
        <v/>
      </c>
      <c r="J937" s="6" t="str">
        <f t="shared" si="2"/>
        <v/>
      </c>
      <c r="K937" s="6" t="str">
        <f t="shared" si="3"/>
        <v/>
      </c>
    </row>
    <row r="938">
      <c r="A938" s="5"/>
      <c r="B938" s="5"/>
      <c r="C938" s="5"/>
      <c r="D938" s="5"/>
      <c r="E938" s="5"/>
      <c r="F938" s="3"/>
      <c r="G938" s="5"/>
      <c r="H938" s="5"/>
      <c r="I938" s="5" t="str">
        <f t="shared" si="4"/>
        <v/>
      </c>
      <c r="J938" s="6" t="str">
        <f t="shared" si="2"/>
        <v/>
      </c>
      <c r="K938" s="6" t="str">
        <f t="shared" si="3"/>
        <v/>
      </c>
    </row>
    <row r="939">
      <c r="A939" s="5"/>
      <c r="B939" s="5"/>
      <c r="C939" s="5"/>
      <c r="D939" s="5"/>
      <c r="E939" s="5"/>
      <c r="F939" s="3"/>
      <c r="G939" s="5"/>
      <c r="H939" s="5"/>
      <c r="I939" s="5" t="str">
        <f t="shared" si="4"/>
        <v/>
      </c>
      <c r="J939" s="6" t="str">
        <f t="shared" si="2"/>
        <v/>
      </c>
      <c r="K939" s="6" t="str">
        <f t="shared" si="3"/>
        <v/>
      </c>
    </row>
    <row r="940">
      <c r="A940" s="5"/>
      <c r="B940" s="5"/>
      <c r="C940" s="5"/>
      <c r="D940" s="5"/>
      <c r="E940" s="5"/>
      <c r="F940" s="3"/>
      <c r="G940" s="5"/>
      <c r="H940" s="5"/>
      <c r="I940" s="5" t="str">
        <f t="shared" si="4"/>
        <v/>
      </c>
      <c r="J940" s="6" t="str">
        <f t="shared" si="2"/>
        <v/>
      </c>
      <c r="K940" s="6" t="str">
        <f t="shared" si="3"/>
        <v/>
      </c>
    </row>
    <row r="941">
      <c r="A941" s="5"/>
      <c r="B941" s="5"/>
      <c r="C941" s="5"/>
      <c r="D941" s="5"/>
      <c r="E941" s="5"/>
      <c r="F941" s="3"/>
      <c r="G941" s="5"/>
      <c r="H941" s="5"/>
      <c r="I941" s="5" t="str">
        <f t="shared" si="4"/>
        <v/>
      </c>
      <c r="J941" s="6" t="str">
        <f t="shared" si="2"/>
        <v/>
      </c>
      <c r="K941" s="6" t="str">
        <f t="shared" si="3"/>
        <v/>
      </c>
    </row>
    <row r="942">
      <c r="A942" s="5"/>
      <c r="B942" s="5"/>
      <c r="C942" s="5"/>
      <c r="D942" s="5"/>
      <c r="E942" s="5"/>
      <c r="F942" s="3"/>
      <c r="G942" s="5"/>
      <c r="H942" s="5"/>
      <c r="I942" s="5" t="str">
        <f t="shared" si="4"/>
        <v/>
      </c>
      <c r="J942" s="6" t="str">
        <f t="shared" si="2"/>
        <v/>
      </c>
      <c r="K942" s="6" t="str">
        <f t="shared" si="3"/>
        <v/>
      </c>
    </row>
    <row r="943">
      <c r="A943" s="5"/>
      <c r="B943" s="5"/>
      <c r="C943" s="5"/>
      <c r="D943" s="5"/>
      <c r="E943" s="5"/>
      <c r="F943" s="3"/>
      <c r="G943" s="5"/>
      <c r="H943" s="5"/>
      <c r="I943" s="5" t="str">
        <f t="shared" si="4"/>
        <v/>
      </c>
      <c r="J943" s="6" t="str">
        <f t="shared" si="2"/>
        <v/>
      </c>
      <c r="K943" s="6" t="str">
        <f t="shared" si="3"/>
        <v/>
      </c>
    </row>
    <row r="944">
      <c r="A944" s="5"/>
      <c r="B944" s="5"/>
      <c r="C944" s="5"/>
      <c r="D944" s="5"/>
      <c r="E944" s="5"/>
      <c r="F944" s="3"/>
      <c r="G944" s="5"/>
      <c r="H944" s="5"/>
      <c r="I944" s="5" t="str">
        <f t="shared" si="4"/>
        <v/>
      </c>
      <c r="J944" s="6" t="str">
        <f t="shared" si="2"/>
        <v/>
      </c>
      <c r="K944" s="6" t="str">
        <f t="shared" si="3"/>
        <v/>
      </c>
    </row>
    <row r="945">
      <c r="A945" s="5"/>
      <c r="B945" s="5"/>
      <c r="C945" s="5"/>
      <c r="D945" s="5"/>
      <c r="E945" s="5"/>
      <c r="F945" s="3"/>
      <c r="G945" s="5"/>
      <c r="H945" s="5"/>
      <c r="I945" s="5" t="str">
        <f t="shared" si="4"/>
        <v/>
      </c>
      <c r="J945" s="6" t="str">
        <f t="shared" si="2"/>
        <v/>
      </c>
      <c r="K945" s="6" t="str">
        <f t="shared" si="3"/>
        <v/>
      </c>
    </row>
    <row r="946">
      <c r="A946" s="5"/>
      <c r="B946" s="5"/>
      <c r="C946" s="5"/>
      <c r="D946" s="5"/>
      <c r="E946" s="5"/>
      <c r="F946" s="3"/>
      <c r="G946" s="5"/>
      <c r="H946" s="5"/>
      <c r="I946" s="5" t="str">
        <f t="shared" si="4"/>
        <v/>
      </c>
      <c r="J946" s="6" t="str">
        <f t="shared" si="2"/>
        <v/>
      </c>
      <c r="K946" s="6" t="str">
        <f t="shared" si="3"/>
        <v/>
      </c>
    </row>
    <row r="947">
      <c r="A947" s="5"/>
      <c r="B947" s="5"/>
      <c r="C947" s="5"/>
      <c r="D947" s="5"/>
      <c r="E947" s="5"/>
      <c r="F947" s="3"/>
      <c r="G947" s="5"/>
      <c r="H947" s="5"/>
      <c r="I947" s="5" t="str">
        <f t="shared" si="4"/>
        <v/>
      </c>
      <c r="J947" s="6" t="str">
        <f t="shared" si="2"/>
        <v/>
      </c>
      <c r="K947" s="6" t="str">
        <f t="shared" si="3"/>
        <v/>
      </c>
    </row>
    <row r="948">
      <c r="A948" s="5"/>
      <c r="B948" s="5"/>
      <c r="C948" s="5"/>
      <c r="D948" s="5"/>
      <c r="E948" s="5"/>
      <c r="F948" s="3"/>
      <c r="G948" s="5"/>
      <c r="H948" s="5"/>
      <c r="I948" s="5" t="str">
        <f t="shared" si="4"/>
        <v/>
      </c>
      <c r="J948" s="6" t="str">
        <f t="shared" si="2"/>
        <v/>
      </c>
      <c r="K948" s="6" t="str">
        <f t="shared" si="3"/>
        <v/>
      </c>
    </row>
    <row r="949">
      <c r="A949" s="5"/>
      <c r="B949" s="5"/>
      <c r="C949" s="5"/>
      <c r="D949" s="5"/>
      <c r="E949" s="5"/>
      <c r="F949" s="3"/>
      <c r="G949" s="5"/>
      <c r="H949" s="5"/>
      <c r="I949" s="5" t="str">
        <f t="shared" si="4"/>
        <v/>
      </c>
      <c r="J949" s="6" t="str">
        <f t="shared" si="2"/>
        <v/>
      </c>
      <c r="K949" s="6" t="str">
        <f t="shared" si="3"/>
        <v/>
      </c>
    </row>
    <row r="950">
      <c r="A950" s="5"/>
      <c r="B950" s="5"/>
      <c r="C950" s="5"/>
      <c r="D950" s="5"/>
      <c r="E950" s="5"/>
      <c r="F950" s="3"/>
      <c r="G950" s="5"/>
      <c r="H950" s="5"/>
      <c r="I950" s="5" t="str">
        <f t="shared" si="4"/>
        <v/>
      </c>
      <c r="J950" s="6" t="str">
        <f t="shared" si="2"/>
        <v/>
      </c>
      <c r="K950" s="6" t="str">
        <f t="shared" si="3"/>
        <v/>
      </c>
    </row>
    <row r="951">
      <c r="A951" s="5"/>
      <c r="B951" s="5"/>
      <c r="C951" s="5"/>
      <c r="D951" s="5"/>
      <c r="E951" s="5"/>
      <c r="F951" s="3"/>
      <c r="G951" s="5"/>
      <c r="H951" s="5"/>
      <c r="I951" s="5" t="str">
        <f t="shared" si="4"/>
        <v/>
      </c>
      <c r="J951" s="6" t="str">
        <f t="shared" si="2"/>
        <v/>
      </c>
      <c r="K951" s="6" t="str">
        <f t="shared" si="3"/>
        <v/>
      </c>
    </row>
    <row r="952">
      <c r="A952" s="5"/>
      <c r="B952" s="5"/>
      <c r="C952" s="5"/>
      <c r="D952" s="5"/>
      <c r="E952" s="5"/>
      <c r="F952" s="3"/>
      <c r="G952" s="5"/>
      <c r="H952" s="5"/>
      <c r="I952" s="5" t="str">
        <f t="shared" si="4"/>
        <v/>
      </c>
      <c r="J952" s="6" t="str">
        <f t="shared" si="2"/>
        <v/>
      </c>
      <c r="K952" s="6" t="str">
        <f t="shared" si="3"/>
        <v/>
      </c>
    </row>
    <row r="953">
      <c r="A953" s="5"/>
      <c r="B953" s="5"/>
      <c r="C953" s="5"/>
      <c r="D953" s="5"/>
      <c r="E953" s="5"/>
      <c r="F953" s="3"/>
      <c r="G953" s="5"/>
      <c r="H953" s="5"/>
      <c r="I953" s="5" t="str">
        <f t="shared" si="4"/>
        <v/>
      </c>
      <c r="J953" s="6" t="str">
        <f t="shared" si="2"/>
        <v/>
      </c>
      <c r="K953" s="6" t="str">
        <f t="shared" si="3"/>
        <v/>
      </c>
    </row>
    <row r="954">
      <c r="A954" s="5"/>
      <c r="B954" s="5"/>
      <c r="C954" s="5"/>
      <c r="D954" s="5"/>
      <c r="E954" s="5"/>
      <c r="F954" s="3"/>
      <c r="G954" s="5"/>
      <c r="H954" s="5"/>
      <c r="I954" s="5" t="str">
        <f t="shared" si="4"/>
        <v/>
      </c>
      <c r="J954" s="6" t="str">
        <f t="shared" si="2"/>
        <v/>
      </c>
      <c r="K954" s="6" t="str">
        <f t="shared" si="3"/>
        <v/>
      </c>
    </row>
    <row r="955">
      <c r="A955" s="5"/>
      <c r="B955" s="5"/>
      <c r="C955" s="5"/>
      <c r="D955" s="5"/>
      <c r="E955" s="5"/>
      <c r="F955" s="3"/>
      <c r="G955" s="5"/>
      <c r="H955" s="5"/>
      <c r="I955" s="5" t="str">
        <f t="shared" si="4"/>
        <v/>
      </c>
      <c r="J955" s="6" t="str">
        <f t="shared" si="2"/>
        <v/>
      </c>
      <c r="K955" s="6" t="str">
        <f t="shared" si="3"/>
        <v/>
      </c>
    </row>
    <row r="956">
      <c r="A956" s="5"/>
      <c r="B956" s="5"/>
      <c r="C956" s="5"/>
      <c r="D956" s="5"/>
      <c r="E956" s="5"/>
      <c r="F956" s="3"/>
      <c r="G956" s="5"/>
      <c r="H956" s="5"/>
      <c r="I956" s="5" t="str">
        <f t="shared" si="4"/>
        <v/>
      </c>
      <c r="J956" s="6" t="str">
        <f t="shared" si="2"/>
        <v/>
      </c>
      <c r="K956" s="6" t="str">
        <f t="shared" si="3"/>
        <v/>
      </c>
    </row>
    <row r="957">
      <c r="A957" s="5"/>
      <c r="B957" s="5"/>
      <c r="C957" s="5"/>
      <c r="D957" s="5"/>
      <c r="E957" s="5"/>
      <c r="F957" s="3"/>
      <c r="G957" s="5"/>
      <c r="H957" s="5"/>
      <c r="I957" s="5" t="str">
        <f t="shared" si="4"/>
        <v/>
      </c>
      <c r="J957" s="6" t="str">
        <f t="shared" si="2"/>
        <v/>
      </c>
      <c r="K957" s="6" t="str">
        <f t="shared" si="3"/>
        <v/>
      </c>
    </row>
    <row r="958">
      <c r="A958" s="5"/>
      <c r="B958" s="5"/>
      <c r="C958" s="5"/>
      <c r="D958" s="5"/>
      <c r="E958" s="5"/>
      <c r="F958" s="3"/>
      <c r="G958" s="5"/>
      <c r="H958" s="5"/>
      <c r="I958" s="5" t="str">
        <f t="shared" si="4"/>
        <v/>
      </c>
      <c r="J958" s="6" t="str">
        <f t="shared" si="2"/>
        <v/>
      </c>
      <c r="K958" s="6" t="str">
        <f t="shared" si="3"/>
        <v/>
      </c>
    </row>
    <row r="959">
      <c r="A959" s="5"/>
      <c r="B959" s="5"/>
      <c r="C959" s="5"/>
      <c r="D959" s="5"/>
      <c r="E959" s="5"/>
      <c r="F959" s="3"/>
      <c r="G959" s="5"/>
      <c r="H959" s="5"/>
      <c r="I959" s="5" t="str">
        <f t="shared" si="4"/>
        <v/>
      </c>
      <c r="J959" s="6" t="str">
        <f t="shared" si="2"/>
        <v/>
      </c>
      <c r="K959" s="6" t="str">
        <f t="shared" si="3"/>
        <v/>
      </c>
    </row>
    <row r="960">
      <c r="A960" s="5"/>
      <c r="B960" s="5"/>
      <c r="C960" s="5"/>
      <c r="D960" s="5"/>
      <c r="E960" s="5"/>
      <c r="F960" s="3"/>
      <c r="G960" s="5"/>
      <c r="H960" s="5"/>
      <c r="I960" s="5" t="str">
        <f t="shared" si="4"/>
        <v/>
      </c>
      <c r="J960" s="6" t="str">
        <f t="shared" si="2"/>
        <v/>
      </c>
      <c r="K960" s="6" t="str">
        <f t="shared" si="3"/>
        <v/>
      </c>
    </row>
    <row r="961">
      <c r="A961" s="5"/>
      <c r="B961" s="5"/>
      <c r="C961" s="5"/>
      <c r="D961" s="5"/>
      <c r="E961" s="5"/>
      <c r="F961" s="3"/>
      <c r="G961" s="5"/>
      <c r="H961" s="5"/>
      <c r="I961" s="5" t="str">
        <f t="shared" si="4"/>
        <v/>
      </c>
      <c r="J961" s="6" t="str">
        <f t="shared" si="2"/>
        <v/>
      </c>
      <c r="K961" s="6" t="str">
        <f t="shared" si="3"/>
        <v/>
      </c>
    </row>
    <row r="962">
      <c r="A962" s="5"/>
      <c r="B962" s="5"/>
      <c r="C962" s="5"/>
      <c r="D962" s="5"/>
      <c r="E962" s="5"/>
      <c r="F962" s="3"/>
      <c r="G962" s="5"/>
      <c r="H962" s="5"/>
      <c r="I962" s="5" t="str">
        <f t="shared" si="4"/>
        <v/>
      </c>
      <c r="J962" s="6" t="str">
        <f t="shared" si="2"/>
        <v/>
      </c>
      <c r="K962" s="6" t="str">
        <f t="shared" si="3"/>
        <v/>
      </c>
    </row>
    <row r="963">
      <c r="A963" s="5"/>
      <c r="B963" s="5"/>
      <c r="C963" s="5"/>
      <c r="D963" s="5"/>
      <c r="E963" s="5"/>
      <c r="F963" s="3"/>
      <c r="G963" s="5"/>
      <c r="H963" s="5"/>
      <c r="I963" s="5" t="str">
        <f t="shared" si="4"/>
        <v/>
      </c>
      <c r="J963" s="6" t="str">
        <f t="shared" si="2"/>
        <v/>
      </c>
      <c r="K963" s="6" t="str">
        <f t="shared" si="3"/>
        <v/>
      </c>
    </row>
    <row r="964">
      <c r="A964" s="5"/>
      <c r="B964" s="5"/>
      <c r="C964" s="5"/>
      <c r="D964" s="5"/>
      <c r="E964" s="5"/>
      <c r="F964" s="3"/>
      <c r="G964" s="5"/>
      <c r="H964" s="5"/>
      <c r="I964" s="5" t="str">
        <f t="shared" si="4"/>
        <v/>
      </c>
      <c r="J964" s="6" t="str">
        <f t="shared" si="2"/>
        <v/>
      </c>
      <c r="K964" s="6" t="str">
        <f t="shared" si="3"/>
        <v/>
      </c>
    </row>
    <row r="965">
      <c r="A965" s="5"/>
      <c r="B965" s="5"/>
      <c r="C965" s="5"/>
      <c r="D965" s="5"/>
      <c r="E965" s="5"/>
      <c r="F965" s="3"/>
      <c r="G965" s="5"/>
      <c r="H965" s="5"/>
      <c r="I965" s="5" t="str">
        <f t="shared" si="4"/>
        <v/>
      </c>
      <c r="J965" s="6" t="str">
        <f t="shared" si="2"/>
        <v/>
      </c>
      <c r="K965" s="6" t="str">
        <f t="shared" si="3"/>
        <v/>
      </c>
    </row>
    <row r="966">
      <c r="A966" s="5"/>
      <c r="B966" s="5"/>
      <c r="C966" s="5"/>
      <c r="D966" s="5"/>
      <c r="E966" s="5"/>
      <c r="F966" s="3"/>
      <c r="G966" s="5"/>
      <c r="H966" s="5"/>
      <c r="I966" s="5" t="str">
        <f t="shared" si="4"/>
        <v/>
      </c>
      <c r="J966" s="6" t="str">
        <f t="shared" si="2"/>
        <v/>
      </c>
      <c r="K966" s="6" t="str">
        <f t="shared" si="3"/>
        <v/>
      </c>
    </row>
    <row r="967">
      <c r="A967" s="5"/>
      <c r="B967" s="5"/>
      <c r="C967" s="5"/>
      <c r="D967" s="5"/>
      <c r="E967" s="5"/>
      <c r="F967" s="3"/>
      <c r="G967" s="5"/>
      <c r="H967" s="5"/>
      <c r="I967" s="5" t="str">
        <f t="shared" si="4"/>
        <v/>
      </c>
      <c r="J967" s="6" t="str">
        <f t="shared" si="2"/>
        <v/>
      </c>
      <c r="K967" s="6" t="str">
        <f t="shared" si="3"/>
        <v/>
      </c>
    </row>
    <row r="968">
      <c r="A968" s="5"/>
      <c r="B968" s="5"/>
      <c r="C968" s="5"/>
      <c r="D968" s="5"/>
      <c r="E968" s="5"/>
      <c r="F968" s="3"/>
      <c r="G968" s="5"/>
      <c r="H968" s="5"/>
      <c r="I968" s="5" t="str">
        <f t="shared" si="4"/>
        <v/>
      </c>
      <c r="J968" s="6" t="str">
        <f t="shared" si="2"/>
        <v/>
      </c>
      <c r="K968" s="6" t="str">
        <f t="shared" si="3"/>
        <v/>
      </c>
    </row>
    <row r="969">
      <c r="A969" s="5"/>
      <c r="B969" s="5"/>
      <c r="C969" s="5"/>
      <c r="D969" s="5"/>
      <c r="E969" s="5"/>
      <c r="F969" s="3"/>
      <c r="G969" s="5"/>
      <c r="H969" s="5"/>
      <c r="I969" s="5" t="str">
        <f t="shared" si="4"/>
        <v/>
      </c>
      <c r="J969" s="6" t="str">
        <f t="shared" si="2"/>
        <v/>
      </c>
      <c r="K969" s="6" t="str">
        <f t="shared" si="3"/>
        <v/>
      </c>
    </row>
    <row r="970">
      <c r="A970" s="5"/>
      <c r="B970" s="5"/>
      <c r="C970" s="5"/>
      <c r="D970" s="5"/>
      <c r="E970" s="5"/>
      <c r="F970" s="3"/>
      <c r="G970" s="5"/>
      <c r="H970" s="5"/>
      <c r="I970" s="5" t="str">
        <f t="shared" si="4"/>
        <v/>
      </c>
      <c r="J970" s="6" t="str">
        <f t="shared" si="2"/>
        <v/>
      </c>
      <c r="K970" s="6" t="str">
        <f t="shared" si="3"/>
        <v/>
      </c>
    </row>
    <row r="971">
      <c r="A971" s="5"/>
      <c r="B971" s="5"/>
      <c r="C971" s="5"/>
      <c r="D971" s="5"/>
      <c r="E971" s="5"/>
      <c r="F971" s="3"/>
      <c r="G971" s="5"/>
      <c r="H971" s="5"/>
      <c r="I971" s="5" t="str">
        <f t="shared" si="4"/>
        <v/>
      </c>
      <c r="J971" s="6" t="str">
        <f t="shared" si="2"/>
        <v/>
      </c>
      <c r="K971" s="6" t="str">
        <f t="shared" si="3"/>
        <v/>
      </c>
    </row>
    <row r="972">
      <c r="A972" s="5"/>
      <c r="B972" s="5"/>
      <c r="C972" s="5"/>
      <c r="D972" s="5"/>
      <c r="E972" s="5"/>
      <c r="F972" s="3"/>
      <c r="G972" s="5"/>
      <c r="H972" s="5"/>
      <c r="I972" s="5" t="str">
        <f t="shared" si="4"/>
        <v/>
      </c>
      <c r="J972" s="6" t="str">
        <f t="shared" si="2"/>
        <v/>
      </c>
      <c r="K972" s="6" t="str">
        <f t="shared" si="3"/>
        <v/>
      </c>
    </row>
    <row r="973">
      <c r="A973" s="5"/>
      <c r="B973" s="5"/>
      <c r="C973" s="5"/>
      <c r="D973" s="5"/>
      <c r="E973" s="5"/>
      <c r="F973" s="3"/>
      <c r="G973" s="5"/>
      <c r="H973" s="5"/>
      <c r="I973" s="5" t="str">
        <f t="shared" si="4"/>
        <v/>
      </c>
      <c r="J973" s="6" t="str">
        <f t="shared" si="2"/>
        <v/>
      </c>
      <c r="K973" s="6" t="str">
        <f t="shared" si="3"/>
        <v/>
      </c>
    </row>
    <row r="974">
      <c r="A974" s="5"/>
      <c r="B974" s="5"/>
      <c r="C974" s="5"/>
      <c r="D974" s="5"/>
      <c r="E974" s="5"/>
      <c r="F974" s="3"/>
      <c r="G974" s="5"/>
      <c r="H974" s="5"/>
      <c r="I974" s="5" t="str">
        <f t="shared" si="4"/>
        <v/>
      </c>
      <c r="J974" s="6" t="str">
        <f t="shared" si="2"/>
        <v/>
      </c>
      <c r="K974" s="6" t="str">
        <f t="shared" si="3"/>
        <v/>
      </c>
    </row>
    <row r="975">
      <c r="A975" s="5"/>
      <c r="B975" s="5"/>
      <c r="C975" s="5"/>
      <c r="D975" s="5"/>
      <c r="E975" s="5"/>
      <c r="F975" s="3"/>
      <c r="G975" s="5"/>
      <c r="H975" s="5"/>
      <c r="I975" s="5" t="str">
        <f t="shared" si="4"/>
        <v/>
      </c>
      <c r="J975" s="6" t="str">
        <f t="shared" si="2"/>
        <v/>
      </c>
      <c r="K975" s="6" t="str">
        <f t="shared" si="3"/>
        <v/>
      </c>
    </row>
    <row r="976">
      <c r="A976" s="5"/>
      <c r="B976" s="5"/>
      <c r="C976" s="5"/>
      <c r="D976" s="5"/>
      <c r="E976" s="5"/>
      <c r="F976" s="3"/>
      <c r="G976" s="5"/>
      <c r="H976" s="5"/>
      <c r="I976" s="5" t="str">
        <f t="shared" si="4"/>
        <v/>
      </c>
      <c r="J976" s="6" t="str">
        <f t="shared" si="2"/>
        <v/>
      </c>
      <c r="K976" s="6" t="str">
        <f t="shared" si="3"/>
        <v/>
      </c>
    </row>
    <row r="977">
      <c r="A977" s="5"/>
      <c r="B977" s="5"/>
      <c r="C977" s="5"/>
      <c r="D977" s="5"/>
      <c r="E977" s="5"/>
      <c r="F977" s="3"/>
      <c r="G977" s="5"/>
      <c r="H977" s="5"/>
      <c r="I977" s="5" t="str">
        <f t="shared" si="4"/>
        <v/>
      </c>
      <c r="J977" s="6" t="str">
        <f t="shared" si="2"/>
        <v/>
      </c>
      <c r="K977" s="6" t="str">
        <f t="shared" si="3"/>
        <v/>
      </c>
    </row>
    <row r="978">
      <c r="A978" s="5"/>
      <c r="B978" s="5"/>
      <c r="C978" s="5"/>
      <c r="D978" s="5"/>
      <c r="E978" s="5"/>
      <c r="F978" s="3"/>
      <c r="G978" s="5"/>
      <c r="H978" s="5"/>
      <c r="I978" s="5" t="str">
        <f t="shared" si="4"/>
        <v/>
      </c>
      <c r="J978" s="6" t="str">
        <f t="shared" si="2"/>
        <v/>
      </c>
      <c r="K978" s="6" t="str">
        <f t="shared" si="3"/>
        <v/>
      </c>
    </row>
    <row r="979">
      <c r="A979" s="5"/>
      <c r="B979" s="5"/>
      <c r="C979" s="5"/>
      <c r="D979" s="5"/>
      <c r="E979" s="5"/>
      <c r="F979" s="3"/>
      <c r="G979" s="5"/>
      <c r="H979" s="5"/>
      <c r="I979" s="5" t="str">
        <f t="shared" si="4"/>
        <v/>
      </c>
      <c r="J979" s="6" t="str">
        <f t="shared" si="2"/>
        <v/>
      </c>
      <c r="K979" s="6" t="str">
        <f t="shared" si="3"/>
        <v/>
      </c>
    </row>
    <row r="980">
      <c r="A980" s="5"/>
      <c r="B980" s="5"/>
      <c r="C980" s="5"/>
      <c r="D980" s="5"/>
      <c r="E980" s="5"/>
      <c r="F980" s="3"/>
      <c r="G980" s="5"/>
      <c r="H980" s="5"/>
      <c r="I980" s="5" t="str">
        <f t="shared" si="4"/>
        <v/>
      </c>
      <c r="J980" s="6" t="str">
        <f t="shared" si="2"/>
        <v/>
      </c>
      <c r="K980" s="6" t="str">
        <f t="shared" si="3"/>
        <v/>
      </c>
    </row>
    <row r="981">
      <c r="A981" s="5"/>
      <c r="B981" s="5"/>
      <c r="C981" s="5"/>
      <c r="D981" s="5"/>
      <c r="E981" s="5"/>
      <c r="F981" s="3"/>
      <c r="G981" s="5"/>
      <c r="H981" s="5"/>
      <c r="I981" s="5" t="str">
        <f t="shared" si="4"/>
        <v/>
      </c>
      <c r="J981" s="6" t="str">
        <f t="shared" si="2"/>
        <v/>
      </c>
      <c r="K981" s="6" t="str">
        <f t="shared" si="3"/>
        <v/>
      </c>
    </row>
    <row r="982">
      <c r="A982" s="5"/>
      <c r="B982" s="5"/>
      <c r="C982" s="5"/>
      <c r="D982" s="5"/>
      <c r="E982" s="5"/>
      <c r="F982" s="3"/>
      <c r="G982" s="5"/>
      <c r="H982" s="5"/>
      <c r="I982" s="5" t="str">
        <f t="shared" si="4"/>
        <v/>
      </c>
      <c r="J982" s="6" t="str">
        <f t="shared" si="2"/>
        <v/>
      </c>
      <c r="K982" s="6" t="str">
        <f t="shared" si="3"/>
        <v/>
      </c>
    </row>
    <row r="983">
      <c r="A983" s="5"/>
      <c r="B983" s="5"/>
      <c r="C983" s="5"/>
      <c r="D983" s="5"/>
      <c r="E983" s="5"/>
      <c r="F983" s="3"/>
      <c r="G983" s="5"/>
      <c r="H983" s="5"/>
      <c r="I983" s="5" t="str">
        <f t="shared" si="4"/>
        <v/>
      </c>
      <c r="J983" s="6" t="str">
        <f t="shared" si="2"/>
        <v/>
      </c>
      <c r="K983" s="6" t="str">
        <f t="shared" si="3"/>
        <v/>
      </c>
    </row>
    <row r="984">
      <c r="A984" s="5"/>
      <c r="B984" s="5"/>
      <c r="C984" s="5"/>
      <c r="D984" s="5"/>
      <c r="E984" s="5"/>
      <c r="F984" s="3"/>
      <c r="G984" s="5"/>
      <c r="H984" s="5"/>
      <c r="I984" s="5" t="str">
        <f t="shared" si="4"/>
        <v/>
      </c>
      <c r="J984" s="6" t="str">
        <f t="shared" si="2"/>
        <v/>
      </c>
      <c r="K984" s="6" t="str">
        <f t="shared" si="3"/>
        <v/>
      </c>
    </row>
    <row r="985">
      <c r="A985" s="5"/>
      <c r="B985" s="5"/>
      <c r="C985" s="5"/>
      <c r="D985" s="5"/>
      <c r="E985" s="5"/>
      <c r="F985" s="3"/>
      <c r="G985" s="5"/>
      <c r="H985" s="5"/>
      <c r="I985" s="5" t="str">
        <f t="shared" si="4"/>
        <v/>
      </c>
      <c r="J985" s="6" t="str">
        <f t="shared" si="2"/>
        <v/>
      </c>
      <c r="K985" s="6" t="str">
        <f t="shared" si="3"/>
        <v/>
      </c>
    </row>
    <row r="986">
      <c r="A986" s="5"/>
      <c r="B986" s="5"/>
      <c r="C986" s="5"/>
      <c r="D986" s="5"/>
      <c r="E986" s="5"/>
      <c r="F986" s="3"/>
      <c r="G986" s="5"/>
      <c r="H986" s="5"/>
      <c r="I986" s="5" t="str">
        <f t="shared" si="4"/>
        <v/>
      </c>
      <c r="J986" s="6" t="str">
        <f t="shared" si="2"/>
        <v/>
      </c>
      <c r="K986" s="6" t="str">
        <f t="shared" si="3"/>
        <v/>
      </c>
    </row>
    <row r="987">
      <c r="A987" s="5"/>
      <c r="B987" s="5"/>
      <c r="C987" s="5"/>
      <c r="D987" s="5"/>
      <c r="E987" s="5"/>
      <c r="F987" s="3"/>
      <c r="G987" s="5"/>
      <c r="H987" s="5"/>
      <c r="I987" s="5" t="str">
        <f t="shared" si="4"/>
        <v/>
      </c>
      <c r="J987" s="6" t="str">
        <f t="shared" si="2"/>
        <v/>
      </c>
      <c r="K987" s="6" t="str">
        <f t="shared" si="3"/>
        <v/>
      </c>
    </row>
    <row r="988">
      <c r="A988" s="5"/>
      <c r="B988" s="5"/>
      <c r="C988" s="5"/>
      <c r="D988" s="5"/>
      <c r="E988" s="5"/>
      <c r="F988" s="3"/>
      <c r="G988" s="5"/>
      <c r="H988" s="5"/>
      <c r="I988" s="5" t="str">
        <f t="shared" si="4"/>
        <v/>
      </c>
      <c r="J988" s="6" t="str">
        <f t="shared" si="2"/>
        <v/>
      </c>
      <c r="K988" s="6" t="str">
        <f t="shared" si="3"/>
        <v/>
      </c>
    </row>
    <row r="989">
      <c r="A989" s="5"/>
      <c r="B989" s="5"/>
      <c r="C989" s="5"/>
      <c r="D989" s="5"/>
      <c r="E989" s="5"/>
      <c r="F989" s="3"/>
      <c r="G989" s="5"/>
      <c r="H989" s="5"/>
      <c r="I989" s="5" t="str">
        <f t="shared" si="4"/>
        <v/>
      </c>
      <c r="J989" s="6" t="str">
        <f t="shared" si="2"/>
        <v/>
      </c>
      <c r="K989" s="6" t="str">
        <f t="shared" si="3"/>
        <v/>
      </c>
    </row>
    <row r="990">
      <c r="A990" s="5"/>
      <c r="B990" s="5"/>
      <c r="C990" s="5"/>
      <c r="D990" s="5"/>
      <c r="E990" s="5"/>
      <c r="F990" s="3"/>
      <c r="G990" s="5"/>
      <c r="H990" s="5"/>
      <c r="I990" s="5" t="str">
        <f t="shared" si="4"/>
        <v/>
      </c>
      <c r="J990" s="6" t="str">
        <f t="shared" si="2"/>
        <v/>
      </c>
      <c r="K990" s="6" t="str">
        <f t="shared" si="3"/>
        <v/>
      </c>
    </row>
    <row r="991">
      <c r="A991" s="5"/>
      <c r="B991" s="5"/>
      <c r="C991" s="5"/>
      <c r="D991" s="5"/>
      <c r="E991" s="5"/>
      <c r="F991" s="3"/>
      <c r="G991" s="5"/>
      <c r="H991" s="5"/>
      <c r="I991" s="5" t="str">
        <f t="shared" si="4"/>
        <v/>
      </c>
      <c r="J991" s="6" t="str">
        <f t="shared" si="2"/>
        <v/>
      </c>
      <c r="K991" s="6" t="str">
        <f t="shared" si="3"/>
        <v/>
      </c>
    </row>
    <row r="992">
      <c r="A992" s="5"/>
      <c r="B992" s="5"/>
      <c r="C992" s="5"/>
      <c r="D992" s="5"/>
      <c r="E992" s="5"/>
      <c r="F992" s="3"/>
      <c r="G992" s="5"/>
      <c r="H992" s="5"/>
      <c r="I992" s="5" t="str">
        <f t="shared" si="4"/>
        <v/>
      </c>
      <c r="J992" s="6" t="str">
        <f t="shared" si="2"/>
        <v/>
      </c>
      <c r="K992" s="6" t="str">
        <f t="shared" si="3"/>
        <v/>
      </c>
    </row>
    <row r="993">
      <c r="A993" s="5"/>
      <c r="B993" s="5"/>
      <c r="C993" s="5"/>
      <c r="D993" s="5"/>
      <c r="E993" s="5"/>
      <c r="F993" s="3"/>
      <c r="G993" s="5"/>
      <c r="H993" s="5"/>
      <c r="I993" s="5" t="str">
        <f t="shared" si="4"/>
        <v/>
      </c>
      <c r="J993" s="6" t="str">
        <f t="shared" si="2"/>
        <v/>
      </c>
      <c r="K993" s="6" t="str">
        <f t="shared" si="3"/>
        <v/>
      </c>
    </row>
    <row r="994">
      <c r="A994" s="5"/>
      <c r="B994" s="5"/>
      <c r="C994" s="5"/>
      <c r="D994" s="5"/>
      <c r="E994" s="5"/>
      <c r="F994" s="3"/>
      <c r="G994" s="5"/>
      <c r="H994" s="5"/>
      <c r="I994" s="5" t="str">
        <f t="shared" si="4"/>
        <v/>
      </c>
      <c r="J994" s="6" t="str">
        <f t="shared" si="2"/>
        <v/>
      </c>
      <c r="K994" s="6" t="str">
        <f t="shared" si="3"/>
        <v/>
      </c>
    </row>
    <row r="995">
      <c r="A995" s="5"/>
      <c r="B995" s="5"/>
      <c r="C995" s="5"/>
      <c r="D995" s="5"/>
      <c r="E995" s="5"/>
      <c r="F995" s="3"/>
      <c r="G995" s="5"/>
      <c r="H995" s="5"/>
      <c r="I995" s="5" t="str">
        <f t="shared" si="4"/>
        <v/>
      </c>
      <c r="J995" s="6" t="str">
        <f t="shared" si="2"/>
        <v/>
      </c>
      <c r="K995" s="6" t="str">
        <f t="shared" si="3"/>
        <v/>
      </c>
    </row>
    <row r="996">
      <c r="A996" s="5"/>
      <c r="B996" s="5"/>
      <c r="C996" s="5"/>
      <c r="D996" s="5"/>
      <c r="E996" s="5"/>
      <c r="F996" s="3"/>
      <c r="G996" s="5"/>
      <c r="H996" s="5"/>
      <c r="I996" s="5" t="str">
        <f t="shared" si="4"/>
        <v/>
      </c>
      <c r="J996" s="6" t="str">
        <f t="shared" si="2"/>
        <v/>
      </c>
      <c r="K996" s="6" t="str">
        <f t="shared" si="3"/>
        <v/>
      </c>
    </row>
    <row r="997">
      <c r="A997" s="5"/>
      <c r="B997" s="5"/>
      <c r="C997" s="5"/>
      <c r="D997" s="5"/>
      <c r="E997" s="5"/>
      <c r="F997" s="3"/>
      <c r="G997" s="5"/>
      <c r="H997" s="5"/>
      <c r="I997" s="5" t="str">
        <f t="shared" si="4"/>
        <v/>
      </c>
      <c r="J997" s="6" t="str">
        <f t="shared" si="2"/>
        <v/>
      </c>
      <c r="K997" s="6" t="str">
        <f t="shared" si="3"/>
        <v/>
      </c>
    </row>
    <row r="998">
      <c r="A998" s="5"/>
      <c r="B998" s="5"/>
      <c r="C998" s="5"/>
      <c r="D998" s="5"/>
      <c r="E998" s="5"/>
      <c r="F998" s="3"/>
      <c r="G998" s="5"/>
      <c r="H998" s="5"/>
      <c r="I998" s="5" t="str">
        <f t="shared" si="4"/>
        <v/>
      </c>
      <c r="J998" s="6" t="str">
        <f t="shared" si="2"/>
        <v/>
      </c>
      <c r="K998" s="6" t="str">
        <f t="shared" si="3"/>
        <v/>
      </c>
    </row>
    <row r="999">
      <c r="A999" s="5"/>
      <c r="B999" s="5"/>
      <c r="C999" s="5"/>
      <c r="D999" s="5"/>
      <c r="E999" s="5"/>
      <c r="F999" s="3"/>
      <c r="G999" s="5"/>
      <c r="H999" s="5"/>
      <c r="I999" s="5" t="str">
        <f t="shared" si="4"/>
        <v/>
      </c>
      <c r="J999" s="6" t="str">
        <f t="shared" si="2"/>
        <v/>
      </c>
      <c r="K999" s="6" t="str">
        <f t="shared" si="3"/>
        <v/>
      </c>
    </row>
    <row r="1000">
      <c r="A1000" s="5"/>
      <c r="B1000" s="5"/>
      <c r="C1000" s="5"/>
      <c r="D1000" s="5"/>
      <c r="E1000" s="5"/>
      <c r="F1000" s="3"/>
      <c r="G1000" s="5"/>
      <c r="H1000" s="5"/>
      <c r="I1000" s="5" t="str">
        <f t="shared" si="4"/>
        <v/>
      </c>
      <c r="J1000" s="6" t="str">
        <f t="shared" si="2"/>
        <v/>
      </c>
      <c r="K1000" s="6" t="str">
        <f t="shared" si="3"/>
        <v/>
      </c>
    </row>
    <row r="1001">
      <c r="A1001" s="5"/>
      <c r="B1001" s="5"/>
      <c r="C1001" s="5"/>
      <c r="D1001" s="5"/>
      <c r="E1001" s="5"/>
      <c r="F1001" s="3"/>
      <c r="G1001" s="5"/>
      <c r="H1001" s="5"/>
      <c r="I1001" s="5" t="str">
        <f t="shared" si="4"/>
        <v/>
      </c>
      <c r="J1001" s="6" t="str">
        <f t="shared" si="2"/>
        <v/>
      </c>
      <c r="K1001" s="6" t="str">
        <f t="shared" si="3"/>
        <v/>
      </c>
    </row>
  </sheetData>
  <dataValidations>
    <dataValidation type="list" allowBlank="1" sqref="E2:E1001">
      <formula1>Parametres!$C$2:$C$50</formula1>
    </dataValidation>
    <dataValidation type="list" allowBlank="1" sqref="F2:F1001">
      <formula1>Parametres!$E$2:$E$22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8.14"/>
    <col customWidth="1" min="3" max="3" width="13.0"/>
    <col customWidth="1" min="4" max="4" width="15.29"/>
    <col customWidth="1" min="5" max="5" width="12.0"/>
    <col customWidth="1" min="7" max="7" width="11.14"/>
    <col customWidth="1" min="8" max="8" width="11.86"/>
    <col customWidth="1" min="9" max="9" width="15.29"/>
    <col customWidth="1" min="10" max="10" width="15.71"/>
    <col customWidth="1" min="12" max="12" width="12.14"/>
    <col customWidth="1" min="13" max="13" width="13.0"/>
    <col customWidth="1" min="14" max="14" width="15.86"/>
  </cols>
  <sheetData>
    <row r="1">
      <c r="A1" s="7" t="s">
        <v>45</v>
      </c>
      <c r="C1" s="1" t="s">
        <v>46</v>
      </c>
      <c r="E1" s="1" t="s">
        <v>47</v>
      </c>
      <c r="G1" s="1" t="s">
        <v>48</v>
      </c>
      <c r="I1" s="2" t="s">
        <v>49</v>
      </c>
      <c r="J1" s="1" t="s">
        <v>50</v>
      </c>
      <c r="L1" s="1" t="s">
        <v>51</v>
      </c>
      <c r="N1" s="8" t="s">
        <v>52</v>
      </c>
      <c r="O1" s="9"/>
      <c r="P1" s="9"/>
      <c r="Q1" s="9"/>
      <c r="R1" s="9"/>
      <c r="S1" s="9"/>
      <c r="T1" s="9"/>
      <c r="U1" s="9"/>
      <c r="V1" s="9"/>
      <c r="W1" s="9"/>
    </row>
    <row r="2">
      <c r="A2" s="10">
        <f>COUNTA(A4:A1000)</f>
        <v>13</v>
      </c>
      <c r="B2" s="11"/>
      <c r="C2" s="12">
        <f>SUM(J4:J1000)</f>
        <v>14865.77</v>
      </c>
      <c r="D2" s="11"/>
      <c r="E2" s="12">
        <f>SUM(M4:M1000)</f>
        <v>16914.14653</v>
      </c>
      <c r="F2" s="11"/>
      <c r="G2" s="12">
        <f>E2-C2</f>
        <v>2048.376527</v>
      </c>
      <c r="H2" s="11"/>
      <c r="I2" s="13">
        <f>(E2-C2)/C2</f>
        <v>0.1377914852</v>
      </c>
      <c r="J2" s="12">
        <f>SUM(P4:P1000)</f>
        <v>17091.64653</v>
      </c>
      <c r="K2" s="11"/>
      <c r="L2" s="12">
        <f>J2-C2</f>
        <v>2225.876527</v>
      </c>
      <c r="M2" s="11"/>
      <c r="N2" s="13">
        <f>(J2-C2)/C2</f>
        <v>0.1497316673</v>
      </c>
      <c r="O2" s="9"/>
      <c r="P2" s="14" t="str">
        <f>V54</f>
        <v/>
      </c>
      <c r="Q2" s="15"/>
      <c r="R2" s="16"/>
      <c r="S2" s="9"/>
      <c r="T2" s="9"/>
      <c r="U2" s="9"/>
      <c r="V2" s="9"/>
      <c r="W2" s="9"/>
    </row>
    <row r="3" ht="24.75" customHeight="1">
      <c r="A3" s="17" t="s">
        <v>0</v>
      </c>
      <c r="B3" s="17" t="s">
        <v>1</v>
      </c>
      <c r="C3" s="17" t="s">
        <v>53</v>
      </c>
      <c r="D3" s="18" t="s">
        <v>54</v>
      </c>
      <c r="E3" s="17" t="s">
        <v>55</v>
      </c>
      <c r="F3" s="19" t="s">
        <v>56</v>
      </c>
      <c r="G3" s="19" t="s">
        <v>3</v>
      </c>
      <c r="H3" s="19" t="s">
        <v>57</v>
      </c>
      <c r="I3" s="18" t="s">
        <v>58</v>
      </c>
      <c r="J3" s="20" t="s">
        <v>59</v>
      </c>
      <c r="K3" s="17" t="s">
        <v>60</v>
      </c>
      <c r="L3" s="17" t="s">
        <v>61</v>
      </c>
      <c r="M3" s="17" t="s">
        <v>62</v>
      </c>
      <c r="N3" s="17" t="s">
        <v>63</v>
      </c>
      <c r="O3" s="18" t="s">
        <v>64</v>
      </c>
      <c r="P3" s="17" t="s">
        <v>65</v>
      </c>
      <c r="Q3" s="17" t="s">
        <v>66</v>
      </c>
      <c r="T3" s="21"/>
    </row>
    <row r="4">
      <c r="A4" s="22" t="s">
        <v>11</v>
      </c>
      <c r="B4" s="23" t="s">
        <v>12</v>
      </c>
      <c r="C4" s="23" t="s">
        <v>67</v>
      </c>
      <c r="D4" s="23" t="s">
        <v>68</v>
      </c>
      <c r="E4" s="23" t="s">
        <v>69</v>
      </c>
      <c r="F4" s="23" t="s">
        <v>14</v>
      </c>
      <c r="G4" s="6">
        <f>SUMIFS(Activite!D:D,Activite!E:E,"Achat",Activite!B:B,B4)-SUMIFS(Activite!D:D,Activite!E:E,"Vente",Activite!B:B,B4)</f>
        <v>10</v>
      </c>
      <c r="H4" s="24">
        <v>35.24</v>
      </c>
      <c r="I4" s="25">
        <f t="shared" ref="I4:I16" si="1">IFERROR(M4/$E$2,"")</f>
        <v>0.02259646973</v>
      </c>
      <c r="J4" s="6">
        <f t="shared" ref="J4:J16" si="2">G4*H4</f>
        <v>352.4</v>
      </c>
      <c r="K4" s="6" t="str">
        <f>IFERROR(__xludf.DUMMYFUNCTION("IFERROR(GOOGLEFINANCE(B4)&amp;"" ""&amp;VLOOKUP(E4,Parametres!$G$2:$I$200,2,FALSE),"""")"),"38,22 €")</f>
        <v>38,22 €</v>
      </c>
      <c r="L4" s="26">
        <f>IFERROR(__xludf.DUMMYFUNCTION("IFERROR(GOOGLEFINANCE(B4)*(VLOOKUP(E4,Parametres!$G$2:$J$200,4,FALSE)),"""")"),38.22)</f>
        <v>38.22</v>
      </c>
      <c r="M4" s="26">
        <f t="shared" ref="M4:M16" si="3">L4*G4</f>
        <v>382.2</v>
      </c>
      <c r="N4" s="27">
        <f t="shared" ref="N4:N16" si="4">M4-J4</f>
        <v>29.8</v>
      </c>
      <c r="O4" s="28">
        <f t="shared" ref="O4:O16" si="5">(M4-J4)/J4</f>
        <v>0.08456299659</v>
      </c>
      <c r="P4" s="26">
        <f>M4+SUMIFS(Activite!I:I,Activite!E:E,"Dividende",Activite!B:B,B4)</f>
        <v>395.4</v>
      </c>
      <c r="Q4" s="28">
        <f t="shared" ref="Q4:Q16" si="6">(P4-J4)/J4</f>
        <v>0.1220204313</v>
      </c>
    </row>
    <row r="5">
      <c r="A5" s="23" t="s">
        <v>16</v>
      </c>
      <c r="B5" s="23" t="s">
        <v>17</v>
      </c>
      <c r="C5" s="23" t="s">
        <v>67</v>
      </c>
      <c r="D5" s="23" t="s">
        <v>68</v>
      </c>
      <c r="E5" s="23" t="s">
        <v>69</v>
      </c>
      <c r="F5" s="23" t="s">
        <v>14</v>
      </c>
      <c r="G5" s="6">
        <f>SUMIFS(Activite!D:D,Activite!E:E,"Achat",Activite!B:B,B5)-SUMIFS(Activite!D:D,Activite!E:E,"Vente",Activite!B:B,B5)</f>
        <v>20</v>
      </c>
      <c r="H5" s="24">
        <v>124.79</v>
      </c>
      <c r="I5" s="25">
        <f t="shared" si="1"/>
        <v>0.175923745</v>
      </c>
      <c r="J5" s="6">
        <f t="shared" si="2"/>
        <v>2495.8</v>
      </c>
      <c r="K5" s="6" t="str">
        <f>IFERROR(__xludf.DUMMYFUNCTION("IFERROR(GOOGLEFINANCE(B5)&amp;"" ""&amp;VLOOKUP(E5,Parametres!$G$2:$I$200,2,FALSE),"""")"),"148,78 €")</f>
        <v>148,78 €</v>
      </c>
      <c r="L5" s="26">
        <f>IFERROR(__xludf.DUMMYFUNCTION("IFERROR(GOOGLEFINANCE(B5)*(VLOOKUP(E5,Parametres!$G$2:$J$200,4,FALSE)),"""")"),148.78)</f>
        <v>148.78</v>
      </c>
      <c r="M5" s="26">
        <f t="shared" si="3"/>
        <v>2975.6</v>
      </c>
      <c r="N5" s="27">
        <f t="shared" si="4"/>
        <v>479.8</v>
      </c>
      <c r="O5" s="28">
        <f t="shared" si="5"/>
        <v>0.1922429682</v>
      </c>
      <c r="P5" s="26">
        <f>M5+SUMIFS(Activite!I:I,Activite!E:E,"Dividende",Activite!B:B,B5)</f>
        <v>2975.6</v>
      </c>
      <c r="Q5" s="28">
        <f t="shared" si="6"/>
        <v>0.1922429682</v>
      </c>
    </row>
    <row r="6">
      <c r="A6" s="23" t="s">
        <v>19</v>
      </c>
      <c r="B6" s="23" t="s">
        <v>20</v>
      </c>
      <c r="C6" s="23" t="s">
        <v>67</v>
      </c>
      <c r="D6" s="23" t="s">
        <v>70</v>
      </c>
      <c r="E6" s="23" t="s">
        <v>69</v>
      </c>
      <c r="F6" s="23" t="s">
        <v>23</v>
      </c>
      <c r="G6" s="6">
        <f>SUMIFS(Activite!D:D,Activite!E:E,"Achat",Activite!B:B,B6)-SUMIFS(Activite!D:D,Activite!E:E,"Vente",Activite!B:B,B6)</f>
        <v>10</v>
      </c>
      <c r="H6" s="24">
        <v>64.2</v>
      </c>
      <c r="I6" s="25">
        <f t="shared" si="1"/>
        <v>0.03812193533</v>
      </c>
      <c r="J6" s="6">
        <f t="shared" si="2"/>
        <v>642</v>
      </c>
      <c r="K6" s="6" t="str">
        <f>IFERROR(__xludf.DUMMYFUNCTION("IFERROR(GOOGLEFINANCE(B6)&amp;"" ""&amp;VLOOKUP(E6,Parametres!$G$2:$I$200,2,FALSE),"""")"),"64,48 €")</f>
        <v>64,48 €</v>
      </c>
      <c r="L6" s="26">
        <f>IFERROR(__xludf.DUMMYFUNCTION("IFERROR(GOOGLEFINANCE(B6)*(VLOOKUP(E6,Parametres!$G$2:$J$200,4,FALSE)),"""")"),64.48)</f>
        <v>64.48</v>
      </c>
      <c r="M6" s="26">
        <f t="shared" si="3"/>
        <v>644.8</v>
      </c>
      <c r="N6" s="29">
        <f t="shared" si="4"/>
        <v>2.8</v>
      </c>
      <c r="O6" s="30">
        <f t="shared" si="5"/>
        <v>0.004361370717</v>
      </c>
      <c r="P6" s="26">
        <f>M6+SUMIFS(Activite!I:I,Activite!E:E,"Dividende",Activite!B:B,B6)</f>
        <v>644.8</v>
      </c>
      <c r="Q6" s="30">
        <f t="shared" si="6"/>
        <v>0.004361370717</v>
      </c>
    </row>
    <row r="7">
      <c r="A7" s="23" t="s">
        <v>21</v>
      </c>
      <c r="B7" s="23" t="s">
        <v>22</v>
      </c>
      <c r="C7" s="23" t="s">
        <v>71</v>
      </c>
      <c r="D7" s="23" t="s">
        <v>72</v>
      </c>
      <c r="E7" s="23" t="s">
        <v>73</v>
      </c>
      <c r="F7" s="23" t="s">
        <v>28</v>
      </c>
      <c r="G7" s="6">
        <f>SUMIFS(Activite!D:D,Activite!E:E,"Achat",Activite!B:B,B7)-SUMIFS(Activite!D:D,Activite!E:E,"Vente",Activite!B:B,B7)</f>
        <v>55</v>
      </c>
      <c r="H7" s="24">
        <v>1.2</v>
      </c>
      <c r="I7" s="25">
        <f t="shared" si="1"/>
        <v>0.004592039671</v>
      </c>
      <c r="J7" s="6">
        <f t="shared" si="2"/>
        <v>66</v>
      </c>
      <c r="K7" s="6" t="str">
        <f>IFERROR(__xludf.DUMMYFUNCTION("IFERROR(GOOGLEFINANCE(B7)&amp;"" ""&amp;VLOOKUP(E7,Parametres!$G$2:$I$200,2,FALSE),"""")"),"120,3 £ GBX")</f>
        <v>120,3 £ GBX</v>
      </c>
      <c r="L7" s="26">
        <f>IFERROR(__xludf.DUMMYFUNCTION("IFERROR(GOOGLEFINANCE(B7)*(VLOOKUP(E7,Parametres!$G$2:$J$200,4,FALSE)),"""")"),1.4121896699999998)</f>
        <v>1.41218967</v>
      </c>
      <c r="M7" s="26">
        <f t="shared" si="3"/>
        <v>77.67043185</v>
      </c>
      <c r="N7" s="27">
        <f t="shared" si="4"/>
        <v>11.67043185</v>
      </c>
      <c r="O7" s="28">
        <f t="shared" si="5"/>
        <v>0.176824725</v>
      </c>
      <c r="P7" s="26">
        <f>M7+SUMIFS(Activite!I:I,Activite!E:E,"Dividende",Activite!B:B,B7)</f>
        <v>77.67043185</v>
      </c>
      <c r="Q7" s="28">
        <f t="shared" si="6"/>
        <v>0.176824725</v>
      </c>
    </row>
    <row r="8">
      <c r="A8" s="23" t="s">
        <v>24</v>
      </c>
      <c r="B8" s="23" t="s">
        <v>25</v>
      </c>
      <c r="C8" s="23" t="s">
        <v>74</v>
      </c>
      <c r="D8" s="23" t="s">
        <v>72</v>
      </c>
      <c r="E8" s="23" t="s">
        <v>75</v>
      </c>
      <c r="F8" s="23" t="s">
        <v>33</v>
      </c>
      <c r="G8" s="6">
        <f>SUMIFS(Activite!D:D,Activite!E:E,"Achat",Activite!B:B,B8)-SUMIFS(Activite!D:D,Activite!E:E,"Vente",Activite!B:B,B8)</f>
        <v>10</v>
      </c>
      <c r="H8" s="24">
        <v>243.1</v>
      </c>
      <c r="I8" s="25">
        <f t="shared" si="1"/>
        <v>0.1467740785</v>
      </c>
      <c r="J8" s="6">
        <f t="shared" si="2"/>
        <v>2431</v>
      </c>
      <c r="K8" s="6" t="str">
        <f>IFERROR(__xludf.DUMMYFUNCTION("IFERROR(GOOGLEFINANCE(B8)&amp;"" ""&amp;VLOOKUP(E8,Parametres!$G$2:$I$200,2,FALSE),"""")"),"292,85 $")</f>
        <v>292,85 $</v>
      </c>
      <c r="L8" s="26">
        <f>IFERROR(__xludf.DUMMYFUNCTION("IFERROR(GOOGLEFINANCE(B8)*(VLOOKUP(E8,Parametres!$G$2:$J$200,4,FALSE)),"""")"),248.25582697500002)</f>
        <v>248.255827</v>
      </c>
      <c r="M8" s="26">
        <f t="shared" si="3"/>
        <v>2482.55827</v>
      </c>
      <c r="N8" s="29">
        <f t="shared" si="4"/>
        <v>51.55826975</v>
      </c>
      <c r="O8" s="30">
        <f t="shared" si="5"/>
        <v>0.02120866711</v>
      </c>
      <c r="P8" s="26">
        <f>M8+SUMIFS(Activite!I:I,Activite!E:E,"Dividende",Activite!B:B,B8)</f>
        <v>2482.55827</v>
      </c>
      <c r="Q8" s="30">
        <f t="shared" si="6"/>
        <v>0.02120866711</v>
      </c>
    </row>
    <row r="9">
      <c r="A9" s="23" t="s">
        <v>26</v>
      </c>
      <c r="B9" s="23" t="s">
        <v>27</v>
      </c>
      <c r="C9" s="23" t="s">
        <v>74</v>
      </c>
      <c r="D9" s="23" t="s">
        <v>70</v>
      </c>
      <c r="E9" s="23" t="s">
        <v>75</v>
      </c>
      <c r="F9" s="23" t="s">
        <v>33</v>
      </c>
      <c r="G9" s="6">
        <f>SUMIFS(Activite!D:D,Activite!E:E,"Achat",Activite!B:B,B9)-SUMIFS(Activite!D:D,Activite!E:E,"Vente",Activite!B:B,B9)</f>
        <v>20</v>
      </c>
      <c r="H9" s="24">
        <v>165.47</v>
      </c>
      <c r="I9" s="25">
        <f t="shared" si="1"/>
        <v>0.239389349</v>
      </c>
      <c r="J9" s="6">
        <f t="shared" si="2"/>
        <v>3309.4</v>
      </c>
      <c r="K9" s="6" t="str">
        <f>IFERROR(__xludf.DUMMYFUNCTION("IFERROR(GOOGLEFINANCE(B9)&amp;"" ""&amp;VLOOKUP(E9,Parametres!$G$2:$I$200,2,FALSE),"""")"),"238,82 $")</f>
        <v>238,82 $</v>
      </c>
      <c r="L9" s="26">
        <f>IFERROR(__xludf.DUMMYFUNCTION("IFERROR(GOOGLEFINANCE(B9)*(VLOOKUP(E9,Parametres!$G$2:$J$200,4,FALSE)),"""")"),202.45332627)</f>
        <v>202.4533263</v>
      </c>
      <c r="M9" s="26">
        <f t="shared" si="3"/>
        <v>4049.066525</v>
      </c>
      <c r="N9" s="29">
        <f t="shared" si="4"/>
        <v>739.6665254</v>
      </c>
      <c r="O9" s="30">
        <f t="shared" si="5"/>
        <v>0.2235047215</v>
      </c>
      <c r="P9" s="26">
        <f>M9+SUMIFS(Activite!I:I,Activite!E:E,"Dividende",Activite!B:B,B9)</f>
        <v>4092.666525</v>
      </c>
      <c r="Q9" s="30">
        <f t="shared" si="6"/>
        <v>0.2366793151</v>
      </c>
    </row>
    <row r="10">
      <c r="A10" s="23" t="s">
        <v>29</v>
      </c>
      <c r="B10" s="23" t="s">
        <v>30</v>
      </c>
      <c r="C10" s="23" t="s">
        <v>71</v>
      </c>
      <c r="D10" s="23" t="s">
        <v>68</v>
      </c>
      <c r="E10" s="23" t="s">
        <v>73</v>
      </c>
      <c r="F10" s="23" t="s">
        <v>28</v>
      </c>
      <c r="G10" s="6">
        <f>SUMIFS(Activite!D:D,Activite!E:E,"Achat",Activite!B:B,B10)-SUMIFS(Activite!D:D,Activite!E:E,"Vente",Activite!B:B,B10)</f>
        <v>65</v>
      </c>
      <c r="H10" s="24">
        <v>2.54</v>
      </c>
      <c r="I10" s="25">
        <f t="shared" si="1"/>
        <v>0.01375911531</v>
      </c>
      <c r="J10" s="6">
        <f t="shared" si="2"/>
        <v>165.1</v>
      </c>
      <c r="K10" s="6" t="str">
        <f>IFERROR(__xludf.DUMMYFUNCTION("IFERROR(GOOGLEFINANCE(B10)&amp;"" ""&amp;VLOOKUP(E10,Parametres!$G$2:$I$200,2,FALSE),"""")"),"305 £ GBX")</f>
        <v>305 £ GBX</v>
      </c>
      <c r="L10" s="26">
        <f>IFERROR(__xludf.DUMMYFUNCTION("IFERROR(GOOGLEFINANCE(B10)*(VLOOKUP(E10,Parametres!$G$2:$J$200,4,FALSE)),"""")"),3.5803644999999995)</f>
        <v>3.5803645</v>
      </c>
      <c r="M10" s="26">
        <f t="shared" si="3"/>
        <v>232.7236925</v>
      </c>
      <c r="N10" s="27">
        <f t="shared" si="4"/>
        <v>67.6236925</v>
      </c>
      <c r="O10" s="28">
        <f t="shared" si="5"/>
        <v>0.4095923228</v>
      </c>
      <c r="P10" s="26">
        <f>M10+SUMIFS(Activite!I:I,Activite!E:E,"Dividende",Activite!B:B,B10)</f>
        <v>235.3236925</v>
      </c>
      <c r="Q10" s="28">
        <f t="shared" si="6"/>
        <v>0.4253403543</v>
      </c>
    </row>
    <row r="11">
      <c r="A11" s="23" t="s">
        <v>31</v>
      </c>
      <c r="B11" s="23" t="s">
        <v>32</v>
      </c>
      <c r="C11" s="23" t="s">
        <v>76</v>
      </c>
      <c r="D11" s="23" t="s">
        <v>77</v>
      </c>
      <c r="E11" s="23" t="s">
        <v>69</v>
      </c>
      <c r="F11" s="23" t="s">
        <v>23</v>
      </c>
      <c r="G11" s="6">
        <f>SUMIFS(Activite!D:D,Activite!E:E,"Achat",Activite!B:B,B11)-SUMIFS(Activite!D:D,Activite!E:E,"Vente",Activite!B:B,B11)</f>
        <v>7</v>
      </c>
      <c r="H11" s="24">
        <v>218.41</v>
      </c>
      <c r="I11" s="25">
        <f t="shared" si="1"/>
        <v>0.08345381174</v>
      </c>
      <c r="J11" s="6">
        <f t="shared" si="2"/>
        <v>1528.87</v>
      </c>
      <c r="K11" s="6" t="str">
        <f>IFERROR(__xludf.DUMMYFUNCTION("IFERROR(GOOGLEFINANCE(B11)&amp;"" ""&amp;VLOOKUP(E11,Parametres!$G$2:$I$200,2,FALSE),"""")"),"201,65 €")</f>
        <v>201,65 €</v>
      </c>
      <c r="L11" s="26">
        <f>IFERROR(__xludf.DUMMYFUNCTION("IFERROR(GOOGLEFINANCE(B11)*(VLOOKUP(E11,Parametres!$G$2:$J$200,4,FALSE)),"""")"),201.65)</f>
        <v>201.65</v>
      </c>
      <c r="M11" s="26">
        <f t="shared" si="3"/>
        <v>1411.55</v>
      </c>
      <c r="N11" s="29">
        <f t="shared" si="4"/>
        <v>-117.32</v>
      </c>
      <c r="O11" s="30">
        <f t="shared" si="5"/>
        <v>-0.07673641317</v>
      </c>
      <c r="P11" s="26">
        <f>M11+SUMIFS(Activite!I:I,Activite!E:E,"Dividende",Activite!B:B,B11)</f>
        <v>1478.75</v>
      </c>
      <c r="Q11" s="30">
        <f t="shared" si="6"/>
        <v>-0.03278238176</v>
      </c>
    </row>
    <row r="12">
      <c r="A12" s="23" t="s">
        <v>34</v>
      </c>
      <c r="B12" s="23" t="s">
        <v>35</v>
      </c>
      <c r="C12" s="23" t="s">
        <v>78</v>
      </c>
      <c r="D12" s="23" t="s">
        <v>70</v>
      </c>
      <c r="E12" s="23" t="s">
        <v>79</v>
      </c>
      <c r="F12" s="23" t="s">
        <v>28</v>
      </c>
      <c r="G12" s="6">
        <f>SUMIFS(Activite!D:D,Activite!E:E,"Achat",Activite!B:B,B12)-SUMIFS(Activite!D:D,Activite!E:E,"Vente",Activite!B:B,B12)</f>
        <v>10</v>
      </c>
      <c r="H12" s="24">
        <v>97.6</v>
      </c>
      <c r="I12" s="25">
        <f t="shared" si="1"/>
        <v>0.0625812144</v>
      </c>
      <c r="J12" s="6">
        <f t="shared" si="2"/>
        <v>976</v>
      </c>
      <c r="K12" s="6" t="str">
        <f>IFERROR(__xludf.DUMMYFUNCTION("IFERROR(GOOGLEFINANCE(B12)&amp;"" ""&amp;VLOOKUP(E12,Parametres!$G$2:$I$200,2,FALSE),"""")"),"114,54 CHF")</f>
        <v>114,54 CHF</v>
      </c>
      <c r="L12" s="26">
        <f>IFERROR(__xludf.DUMMYFUNCTION("IFERROR(GOOGLEFINANCE(B12)*(VLOOKUP(E12,Parametres!$G$2:$J$200,4,FALSE)),"""")"),105.85078301376001)</f>
        <v>105.850783</v>
      </c>
      <c r="M12" s="26">
        <f t="shared" si="3"/>
        <v>1058.50783</v>
      </c>
      <c r="N12" s="29">
        <f t="shared" si="4"/>
        <v>82.50783014</v>
      </c>
      <c r="O12" s="30">
        <f t="shared" si="5"/>
        <v>0.08453671121</v>
      </c>
      <c r="P12" s="26">
        <f>M12+SUMIFS(Activite!I:I,Activite!E:E,"Dividende",Activite!B:B,B12)</f>
        <v>1083.80783</v>
      </c>
      <c r="Q12" s="30">
        <f t="shared" si="6"/>
        <v>0.1104588424</v>
      </c>
    </row>
    <row r="13">
      <c r="A13" s="3" t="s">
        <v>36</v>
      </c>
      <c r="B13" s="3" t="s">
        <v>37</v>
      </c>
      <c r="C13" s="3" t="s">
        <v>80</v>
      </c>
      <c r="D13" s="3" t="s">
        <v>81</v>
      </c>
      <c r="E13" s="3" t="s">
        <v>69</v>
      </c>
      <c r="F13" s="3" t="s">
        <v>14</v>
      </c>
      <c r="G13" s="6">
        <f>SUMIFS(Activite!D:D,Activite!E:E,"Achat",Activite!B:B,B13)-SUMIFS(Activite!D:D,Activite!E:E,"Vente",Activite!B:B,B13)</f>
        <v>15</v>
      </c>
      <c r="H13" s="3">
        <v>22.12</v>
      </c>
      <c r="I13" s="25">
        <f t="shared" si="1"/>
        <v>0.0215411401</v>
      </c>
      <c r="J13" s="6">
        <f t="shared" si="2"/>
        <v>331.8</v>
      </c>
      <c r="K13" s="6" t="str">
        <f>IFERROR(__xludf.DUMMYFUNCTION("IFERROR(GOOGLEFINANCE(B13)&amp;"" ""&amp;VLOOKUP(E13,Parametres!$G$2:$I$200,2,FALSE),"""")"),"24,29 €")</f>
        <v>24,29 €</v>
      </c>
      <c r="L13" s="26">
        <f>IFERROR(__xludf.DUMMYFUNCTION("IFERROR(GOOGLEFINANCE(B13)*(VLOOKUP(E13,Parametres!$G$2:$J$200,4,FALSE)),"""")"),24.29)</f>
        <v>24.29</v>
      </c>
      <c r="M13" s="26">
        <f t="shared" si="3"/>
        <v>364.35</v>
      </c>
      <c r="N13" s="29">
        <f t="shared" si="4"/>
        <v>32.55</v>
      </c>
      <c r="O13" s="30">
        <f t="shared" si="5"/>
        <v>0.09810126582</v>
      </c>
      <c r="P13" s="26">
        <f>M13+SUMIFS(Activite!I:I,Activite!E:E,"Dividende",Activite!B:B,B13)</f>
        <v>364.35</v>
      </c>
      <c r="Q13" s="30">
        <f t="shared" si="6"/>
        <v>0.09810126582</v>
      </c>
    </row>
    <row r="14">
      <c r="A14" s="3" t="s">
        <v>38</v>
      </c>
      <c r="B14" s="3" t="s">
        <v>39</v>
      </c>
      <c r="C14" s="3" t="s">
        <v>82</v>
      </c>
      <c r="D14" s="3" t="s">
        <v>83</v>
      </c>
      <c r="E14" s="3" t="s">
        <v>75</v>
      </c>
      <c r="F14" s="3" t="s">
        <v>40</v>
      </c>
      <c r="G14" s="6">
        <f>SUMIFS(Activite!D:D,Activite!E:E,"Achat",Activite!B:B,B14)-SUMIFS(Activite!D:D,Activite!E:E,"Vente",Activite!B:B,B14)</f>
        <v>30</v>
      </c>
      <c r="H14" s="3">
        <v>26.35</v>
      </c>
      <c r="I14" s="25">
        <f t="shared" si="1"/>
        <v>0.078667097</v>
      </c>
      <c r="J14" s="6">
        <f t="shared" si="2"/>
        <v>790.5</v>
      </c>
      <c r="K14" s="6" t="str">
        <f>IFERROR(VLOOKUP(A14,HorsGoogleFinance!C:I,3,FALSE)&amp;" "&amp;VLOOKUP(E14,Parametres!$G$2:$I$200,2,FALSE),"")</f>
        <v>52,32 $</v>
      </c>
      <c r="L14" s="26">
        <f>IFERROR(VLOOKUP(A14,HorsGoogleFinance!C:I,3,FALSE)*(VLOOKUP(E14,Parametres!$G$2:$J$200,4,FALSE)),"")</f>
        <v>44.35289352</v>
      </c>
      <c r="M14" s="26">
        <f t="shared" si="3"/>
        <v>1330.586806</v>
      </c>
      <c r="N14" s="29">
        <f t="shared" si="4"/>
        <v>540.0868056</v>
      </c>
      <c r="O14" s="30">
        <f t="shared" si="5"/>
        <v>0.6832217655</v>
      </c>
      <c r="P14" s="26">
        <f>M14+SUMIFS(Activite!I:I,Activite!E:E,"Dividende",Activite!B:B,B14)</f>
        <v>1330.586806</v>
      </c>
      <c r="Q14" s="30">
        <f t="shared" si="6"/>
        <v>0.6832217655</v>
      </c>
    </row>
    <row r="15">
      <c r="A15" s="3" t="s">
        <v>84</v>
      </c>
      <c r="B15" s="3" t="s">
        <v>42</v>
      </c>
      <c r="C15" s="3" t="s">
        <v>85</v>
      </c>
      <c r="D15" s="3" t="s">
        <v>86</v>
      </c>
      <c r="E15" s="3" t="s">
        <v>87</v>
      </c>
      <c r="F15" s="3" t="s">
        <v>28</v>
      </c>
      <c r="G15" s="6">
        <f>SUMIFS(Activite!D:D,Activite!E:E,"Achat",Activite!B:B,B15)-SUMIFS(Activite!D:D,Activite!E:E,"Vente",Activite!B:B,B15)</f>
        <v>12</v>
      </c>
      <c r="H15" s="3">
        <v>71.95</v>
      </c>
      <c r="I15" s="25">
        <f t="shared" si="1"/>
        <v>0.05493230004</v>
      </c>
      <c r="J15" s="6">
        <f t="shared" si="2"/>
        <v>863.4</v>
      </c>
      <c r="K15" s="6" t="str">
        <f>IFERROR(SUBSTITUTE(VLOOKUP(A15,HorsGoogleFinance!C:I,3,FALSE),".",""),"")</f>
        <v>10015,0</v>
      </c>
      <c r="L15" s="26">
        <f>IFERROR(SUBSTITUTE(VLOOKUP(A15,HorsGoogleFinance!C:I,3,FALSE),".","")*(VLOOKUP(E15,Parametres!$G$2:$J$200,4,FALSE)),"")</f>
        <v>77.42774767</v>
      </c>
      <c r="M15" s="26">
        <f t="shared" si="3"/>
        <v>929.132972</v>
      </c>
      <c r="N15" s="29">
        <f t="shared" si="4"/>
        <v>65.73297204</v>
      </c>
      <c r="O15" s="30">
        <f t="shared" si="5"/>
        <v>0.07613269868</v>
      </c>
      <c r="P15" s="26">
        <f>M15+SUMIFS(Activite!I:I,Activite!E:E,"Dividende",Activite!B:B,B15)</f>
        <v>929.132972</v>
      </c>
      <c r="Q15" s="30">
        <f t="shared" si="6"/>
        <v>0.07613269868</v>
      </c>
    </row>
    <row r="16">
      <c r="A16" s="3" t="s">
        <v>43</v>
      </c>
      <c r="B16" s="3" t="s">
        <v>44</v>
      </c>
      <c r="C16" s="3" t="s">
        <v>67</v>
      </c>
      <c r="D16" s="3" t="s">
        <v>88</v>
      </c>
      <c r="E16" s="3" t="s">
        <v>69</v>
      </c>
      <c r="F16" s="3" t="s">
        <v>23</v>
      </c>
      <c r="G16" s="6">
        <f>SUMIFS(Activite!D:D,Activite!E:E,"Achat",Activite!B:B,B16)-SUMIFS(Activite!D:D,Activite!E:E,"Vente",Activite!B:B,B16)</f>
        <v>10</v>
      </c>
      <c r="H16" s="3">
        <v>91.35</v>
      </c>
      <c r="I16" s="25">
        <f t="shared" si="1"/>
        <v>0.05766770428</v>
      </c>
      <c r="J16" s="6">
        <f t="shared" si="2"/>
        <v>913.5</v>
      </c>
      <c r="K16" s="6" t="str">
        <f>IFERROR(__xludf.DUMMYFUNCTION("IFERROR(GOOGLEFINANCE(B16)&amp;"" ""&amp;VLOOKUP(E16,Parametres!$G$2:$I$200,2,FALSE),"""")"),"97,54 €")</f>
        <v>97,54 €</v>
      </c>
      <c r="L16" s="26">
        <f>IFERROR(__xludf.DUMMYFUNCTION("IFERROR(GOOGLEFINANCE(B16)*(VLOOKUP(E16,Parametres!$G$2:$J$200,4,FALSE)),"""")"),97.54)</f>
        <v>97.54</v>
      </c>
      <c r="M16" s="26">
        <f t="shared" si="3"/>
        <v>975.4</v>
      </c>
      <c r="N16" s="29">
        <f t="shared" si="4"/>
        <v>61.9</v>
      </c>
      <c r="O16" s="30">
        <f t="shared" si="5"/>
        <v>0.06776135742</v>
      </c>
      <c r="P16" s="26">
        <f>M16+SUMIFS(Activite!I:I,Activite!E:E,"Dividende",Activite!B:B,B16)</f>
        <v>1001</v>
      </c>
      <c r="Q16" s="30">
        <f t="shared" si="6"/>
        <v>0.09578544061</v>
      </c>
    </row>
    <row r="17">
      <c r="A17" s="5"/>
      <c r="B17" s="5"/>
      <c r="C17" s="5"/>
      <c r="D17" s="5"/>
      <c r="E17" s="3"/>
      <c r="F17" s="5"/>
      <c r="G17" s="31"/>
      <c r="H17" s="5"/>
      <c r="I17" s="5"/>
      <c r="J17" s="5"/>
      <c r="K17" s="5"/>
      <c r="L17" s="31"/>
      <c r="M17" s="5"/>
      <c r="N17" s="5"/>
    </row>
    <row r="18">
      <c r="A18" s="5"/>
      <c r="B18" s="5"/>
      <c r="C18" s="5"/>
      <c r="D18" s="5"/>
      <c r="E18" s="3"/>
      <c r="F18" s="5"/>
      <c r="G18" s="31"/>
      <c r="H18" s="5"/>
      <c r="I18" s="5"/>
      <c r="J18" s="5"/>
      <c r="K18" s="5"/>
      <c r="L18" s="31"/>
      <c r="M18" s="5"/>
      <c r="N18" s="5"/>
    </row>
    <row r="19">
      <c r="A19" s="5"/>
      <c r="B19" s="5"/>
      <c r="C19" s="5"/>
      <c r="D19" s="5"/>
      <c r="E19" s="3"/>
      <c r="F19" s="5"/>
      <c r="G19" s="31"/>
      <c r="H19" s="5"/>
      <c r="I19" s="5"/>
      <c r="J19" s="5"/>
      <c r="K19" s="5"/>
      <c r="L19" s="31"/>
      <c r="M19" s="5"/>
      <c r="N19" s="5"/>
    </row>
    <row r="20">
      <c r="A20" s="5"/>
      <c r="B20" s="5"/>
      <c r="C20" s="5"/>
      <c r="D20" s="5"/>
      <c r="E20" s="3"/>
      <c r="F20" s="5"/>
      <c r="G20" s="31"/>
      <c r="H20" s="5"/>
      <c r="I20" s="5"/>
      <c r="J20" s="5"/>
      <c r="K20" s="5"/>
      <c r="L20" s="31"/>
      <c r="M20" s="5"/>
      <c r="N20" s="5"/>
    </row>
    <row r="21">
      <c r="A21" s="5"/>
      <c r="B21" s="5"/>
      <c r="C21" s="5"/>
      <c r="D21" s="5"/>
      <c r="E21" s="3"/>
      <c r="F21" s="5"/>
      <c r="G21" s="31"/>
      <c r="H21" s="5"/>
      <c r="I21" s="5"/>
      <c r="J21" s="5"/>
      <c r="K21" s="5"/>
      <c r="L21" s="31"/>
      <c r="M21" s="5"/>
      <c r="N21" s="5"/>
    </row>
    <row r="22">
      <c r="A22" s="5"/>
      <c r="B22" s="5"/>
      <c r="C22" s="5"/>
      <c r="D22" s="5"/>
      <c r="E22" s="3"/>
      <c r="F22" s="5"/>
      <c r="G22" s="31"/>
      <c r="H22" s="5"/>
      <c r="I22" s="5"/>
      <c r="J22" s="5"/>
      <c r="K22" s="5"/>
      <c r="L22" s="31"/>
      <c r="M22" s="5"/>
      <c r="N22" s="5"/>
    </row>
    <row r="23">
      <c r="A23" s="5"/>
      <c r="B23" s="5"/>
      <c r="C23" s="5"/>
      <c r="D23" s="5"/>
      <c r="E23" s="3"/>
      <c r="F23" s="5"/>
      <c r="G23" s="31"/>
      <c r="H23" s="5"/>
      <c r="I23" s="5"/>
      <c r="J23" s="5"/>
      <c r="K23" s="5"/>
      <c r="L23" s="31"/>
      <c r="M23" s="5"/>
      <c r="N23" s="5"/>
    </row>
    <row r="24">
      <c r="A24" s="5"/>
      <c r="B24" s="5"/>
      <c r="C24" s="5"/>
      <c r="D24" s="5"/>
      <c r="E24" s="3"/>
      <c r="F24" s="5"/>
      <c r="G24" s="31"/>
      <c r="H24" s="5"/>
      <c r="I24" s="5"/>
      <c r="J24" s="5"/>
      <c r="K24" s="5"/>
      <c r="L24" s="31"/>
      <c r="M24" s="5"/>
      <c r="N24" s="5"/>
    </row>
    <row r="25">
      <c r="A25" s="5"/>
      <c r="B25" s="5"/>
      <c r="C25" s="5"/>
      <c r="D25" s="5"/>
      <c r="E25" s="3"/>
      <c r="F25" s="5"/>
      <c r="G25" s="31"/>
      <c r="H25" s="5"/>
      <c r="I25" s="5"/>
      <c r="J25" s="5"/>
      <c r="K25" s="5"/>
      <c r="L25" s="31"/>
      <c r="M25" s="5"/>
      <c r="N25" s="5"/>
    </row>
    <row r="26">
      <c r="A26" s="5"/>
      <c r="B26" s="5"/>
      <c r="C26" s="5"/>
      <c r="D26" s="5"/>
      <c r="E26" s="3"/>
      <c r="F26" s="5"/>
      <c r="G26" s="31"/>
      <c r="H26" s="5"/>
      <c r="I26" s="5"/>
      <c r="J26" s="5"/>
      <c r="K26" s="5"/>
      <c r="L26" s="31"/>
      <c r="M26" s="5"/>
      <c r="N26" s="5"/>
    </row>
    <row r="27">
      <c r="A27" s="5"/>
      <c r="B27" s="5"/>
      <c r="C27" s="5"/>
      <c r="D27" s="5"/>
      <c r="E27" s="3"/>
      <c r="F27" s="5"/>
      <c r="G27" s="31"/>
      <c r="H27" s="5"/>
      <c r="I27" s="5"/>
      <c r="J27" s="5"/>
      <c r="K27" s="5"/>
      <c r="L27" s="31"/>
      <c r="M27" s="5"/>
      <c r="N27" s="5"/>
    </row>
    <row r="28">
      <c r="A28" s="5"/>
      <c r="B28" s="5"/>
      <c r="C28" s="5"/>
      <c r="D28" s="5"/>
      <c r="E28" s="3"/>
      <c r="F28" s="5"/>
      <c r="G28" s="31"/>
      <c r="H28" s="5"/>
      <c r="I28" s="5"/>
      <c r="J28" s="5"/>
      <c r="K28" s="5"/>
      <c r="L28" s="31"/>
      <c r="M28" s="5"/>
      <c r="N28" s="5"/>
    </row>
    <row r="29">
      <c r="A29" s="5"/>
      <c r="B29" s="5"/>
      <c r="C29" s="5"/>
      <c r="D29" s="5"/>
      <c r="E29" s="3"/>
      <c r="F29" s="5"/>
      <c r="G29" s="31"/>
      <c r="H29" s="5"/>
      <c r="I29" s="5"/>
      <c r="J29" s="5"/>
      <c r="K29" s="5"/>
      <c r="L29" s="31"/>
      <c r="M29" s="5"/>
      <c r="N29" s="5"/>
    </row>
    <row r="30">
      <c r="A30" s="5"/>
      <c r="B30" s="5"/>
      <c r="C30" s="5"/>
      <c r="D30" s="5"/>
      <c r="E30" s="3"/>
      <c r="F30" s="5"/>
      <c r="G30" s="31"/>
      <c r="H30" s="5"/>
      <c r="I30" s="5"/>
      <c r="J30" s="5"/>
      <c r="K30" s="5"/>
      <c r="L30" s="31"/>
      <c r="M30" s="5"/>
      <c r="N30" s="5"/>
    </row>
    <row r="31">
      <c r="A31" s="5"/>
      <c r="B31" s="5"/>
      <c r="C31" s="5"/>
      <c r="D31" s="5"/>
      <c r="E31" s="3"/>
      <c r="F31" s="5"/>
      <c r="G31" s="31"/>
      <c r="H31" s="5"/>
      <c r="I31" s="5"/>
      <c r="J31" s="5"/>
      <c r="K31" s="5"/>
      <c r="L31" s="31"/>
      <c r="M31" s="5"/>
      <c r="N31" s="5"/>
    </row>
    <row r="32">
      <c r="A32" s="5"/>
      <c r="B32" s="5"/>
      <c r="C32" s="5"/>
      <c r="D32" s="5"/>
      <c r="E32" s="3"/>
      <c r="F32" s="5"/>
      <c r="G32" s="31"/>
      <c r="H32" s="5"/>
      <c r="I32" s="5"/>
      <c r="J32" s="5"/>
      <c r="K32" s="5"/>
      <c r="L32" s="31"/>
      <c r="M32" s="5"/>
      <c r="N32" s="5"/>
    </row>
    <row r="33">
      <c r="A33" s="5"/>
      <c r="B33" s="5"/>
      <c r="C33" s="5"/>
      <c r="D33" s="5"/>
      <c r="E33" s="3"/>
      <c r="F33" s="5"/>
      <c r="G33" s="31"/>
      <c r="H33" s="5"/>
      <c r="I33" s="5"/>
      <c r="J33" s="5"/>
      <c r="K33" s="5"/>
      <c r="L33" s="31"/>
      <c r="M33" s="5"/>
      <c r="N33" s="5"/>
    </row>
    <row r="34">
      <c r="A34" s="5"/>
      <c r="B34" s="5"/>
      <c r="C34" s="5"/>
      <c r="D34" s="5"/>
      <c r="E34" s="3"/>
      <c r="F34" s="5"/>
      <c r="G34" s="31"/>
      <c r="H34" s="5"/>
      <c r="I34" s="5"/>
      <c r="J34" s="5"/>
      <c r="K34" s="5"/>
      <c r="L34" s="31"/>
      <c r="M34" s="5"/>
      <c r="N34" s="5"/>
    </row>
    <row r="35">
      <c r="A35" s="5"/>
      <c r="B35" s="5"/>
      <c r="C35" s="5"/>
      <c r="D35" s="5"/>
      <c r="E35" s="3"/>
      <c r="F35" s="5"/>
      <c r="G35" s="31"/>
      <c r="H35" s="5"/>
      <c r="I35" s="5"/>
      <c r="J35" s="5"/>
      <c r="K35" s="5"/>
      <c r="L35" s="31"/>
      <c r="M35" s="5"/>
      <c r="N35" s="5"/>
    </row>
    <row r="36">
      <c r="A36" s="5"/>
      <c r="B36" s="5"/>
      <c r="C36" s="5"/>
      <c r="D36" s="5"/>
      <c r="E36" s="3"/>
      <c r="F36" s="5"/>
      <c r="G36" s="31"/>
      <c r="H36" s="5"/>
      <c r="I36" s="5"/>
      <c r="J36" s="5"/>
      <c r="K36" s="5"/>
      <c r="L36" s="31"/>
      <c r="M36" s="5"/>
      <c r="N36" s="5"/>
    </row>
    <row r="37">
      <c r="A37" s="5"/>
      <c r="B37" s="5"/>
      <c r="C37" s="5"/>
      <c r="D37" s="5"/>
      <c r="E37" s="3"/>
      <c r="F37" s="5"/>
      <c r="G37" s="31"/>
      <c r="H37" s="5"/>
      <c r="I37" s="5"/>
      <c r="J37" s="5"/>
      <c r="K37" s="5"/>
      <c r="L37" s="31"/>
      <c r="M37" s="5"/>
      <c r="N37" s="5"/>
    </row>
    <row r="38">
      <c r="A38" s="5"/>
      <c r="B38" s="5"/>
      <c r="C38" s="5"/>
      <c r="D38" s="5"/>
      <c r="E38" s="3"/>
      <c r="F38" s="5"/>
      <c r="G38" s="31"/>
      <c r="H38" s="5"/>
      <c r="I38" s="5"/>
      <c r="J38" s="5"/>
      <c r="K38" s="5"/>
      <c r="L38" s="31"/>
      <c r="M38" s="5"/>
      <c r="N38" s="5"/>
    </row>
    <row r="39">
      <c r="A39" s="5"/>
      <c r="B39" s="5"/>
      <c r="C39" s="5"/>
      <c r="D39" s="5"/>
      <c r="E39" s="3"/>
      <c r="F39" s="5"/>
      <c r="G39" s="31"/>
      <c r="H39" s="5"/>
      <c r="I39" s="5"/>
      <c r="J39" s="5"/>
      <c r="K39" s="5"/>
      <c r="L39" s="31"/>
      <c r="M39" s="5"/>
      <c r="N39" s="5"/>
    </row>
    <row r="40">
      <c r="A40" s="5"/>
      <c r="B40" s="5"/>
      <c r="C40" s="5"/>
      <c r="D40" s="5"/>
      <c r="E40" s="3"/>
      <c r="F40" s="5"/>
      <c r="G40" s="31"/>
      <c r="H40" s="5"/>
      <c r="I40" s="5"/>
      <c r="J40" s="5"/>
      <c r="K40" s="5"/>
      <c r="L40" s="31"/>
      <c r="M40" s="5"/>
      <c r="N40" s="5"/>
    </row>
    <row r="41">
      <c r="A41" s="5"/>
      <c r="B41" s="5"/>
      <c r="C41" s="5"/>
      <c r="D41" s="5"/>
      <c r="E41" s="3"/>
      <c r="F41" s="5"/>
      <c r="G41" s="31"/>
      <c r="H41" s="5"/>
      <c r="I41" s="5"/>
      <c r="J41" s="5"/>
      <c r="K41" s="5"/>
      <c r="L41" s="31"/>
      <c r="M41" s="5"/>
      <c r="N41" s="5"/>
    </row>
    <row r="42">
      <c r="A42" s="5"/>
      <c r="B42" s="5"/>
      <c r="C42" s="5"/>
      <c r="D42" s="5"/>
      <c r="E42" s="3"/>
      <c r="F42" s="5"/>
      <c r="G42" s="31"/>
      <c r="H42" s="5"/>
      <c r="I42" s="5"/>
      <c r="J42" s="5"/>
      <c r="K42" s="5"/>
      <c r="L42" s="31"/>
      <c r="M42" s="5"/>
      <c r="N42" s="5"/>
    </row>
    <row r="43">
      <c r="A43" s="5"/>
      <c r="B43" s="5"/>
      <c r="C43" s="5"/>
      <c r="D43" s="5"/>
      <c r="E43" s="3"/>
      <c r="F43" s="5"/>
      <c r="G43" s="31"/>
      <c r="H43" s="5"/>
      <c r="I43" s="5"/>
      <c r="J43" s="5"/>
      <c r="K43" s="5"/>
      <c r="L43" s="31"/>
      <c r="M43" s="5"/>
      <c r="N43" s="5"/>
    </row>
    <row r="44">
      <c r="A44" s="5"/>
      <c r="B44" s="5"/>
      <c r="C44" s="5"/>
      <c r="D44" s="5"/>
      <c r="E44" s="3"/>
      <c r="F44" s="5"/>
      <c r="G44" s="31"/>
      <c r="H44" s="5"/>
      <c r="I44" s="5"/>
      <c r="J44" s="5"/>
      <c r="K44" s="5"/>
      <c r="L44" s="31"/>
      <c r="M44" s="5"/>
      <c r="N44" s="5"/>
    </row>
    <row r="45">
      <c r="A45" s="5"/>
      <c r="B45" s="5"/>
      <c r="C45" s="5"/>
      <c r="D45" s="5"/>
      <c r="E45" s="3"/>
      <c r="F45" s="5"/>
      <c r="G45" s="31"/>
      <c r="H45" s="5"/>
      <c r="I45" s="5"/>
      <c r="J45" s="5"/>
      <c r="K45" s="5"/>
      <c r="L45" s="31"/>
      <c r="M45" s="5"/>
      <c r="N45" s="5"/>
    </row>
    <row r="46">
      <c r="A46" s="5"/>
      <c r="B46" s="5"/>
      <c r="C46" s="5"/>
      <c r="D46" s="5"/>
      <c r="E46" s="3"/>
      <c r="F46" s="5"/>
      <c r="G46" s="31"/>
      <c r="H46" s="5"/>
      <c r="I46" s="5"/>
      <c r="J46" s="5"/>
      <c r="K46" s="5"/>
      <c r="L46" s="31"/>
      <c r="M46" s="5"/>
      <c r="N46" s="5"/>
    </row>
    <row r="47">
      <c r="A47" s="5"/>
      <c r="B47" s="5"/>
      <c r="C47" s="5"/>
      <c r="D47" s="5"/>
      <c r="E47" s="3"/>
      <c r="F47" s="5"/>
      <c r="G47" s="31"/>
      <c r="H47" s="5"/>
      <c r="I47" s="5"/>
      <c r="J47" s="5"/>
      <c r="K47" s="5"/>
      <c r="L47" s="31"/>
      <c r="M47" s="5"/>
      <c r="N47" s="5"/>
    </row>
    <row r="48">
      <c r="A48" s="5"/>
      <c r="B48" s="5"/>
      <c r="C48" s="5"/>
      <c r="D48" s="5"/>
      <c r="E48" s="3"/>
      <c r="F48" s="5"/>
      <c r="G48" s="31"/>
      <c r="H48" s="5"/>
      <c r="I48" s="5"/>
      <c r="J48" s="5"/>
      <c r="K48" s="5"/>
      <c r="L48" s="31"/>
      <c r="M48" s="5"/>
      <c r="N48" s="5"/>
    </row>
    <row r="49">
      <c r="A49" s="5"/>
      <c r="B49" s="5"/>
      <c r="C49" s="5"/>
      <c r="D49" s="5"/>
      <c r="E49" s="3"/>
      <c r="F49" s="5"/>
      <c r="G49" s="31"/>
      <c r="H49" s="5"/>
      <c r="I49" s="5"/>
      <c r="J49" s="5"/>
      <c r="K49" s="5"/>
      <c r="L49" s="31"/>
      <c r="M49" s="5"/>
      <c r="N49" s="5"/>
    </row>
    <row r="50">
      <c r="A50" s="5"/>
      <c r="B50" s="5"/>
      <c r="C50" s="5"/>
      <c r="D50" s="5"/>
      <c r="E50" s="3"/>
      <c r="F50" s="5"/>
      <c r="G50" s="31"/>
      <c r="H50" s="5"/>
      <c r="I50" s="5"/>
      <c r="J50" s="5"/>
      <c r="K50" s="5"/>
      <c r="L50" s="31"/>
      <c r="M50" s="5"/>
      <c r="N50" s="5"/>
    </row>
    <row r="51">
      <c r="A51" s="5"/>
      <c r="B51" s="5"/>
      <c r="C51" s="5"/>
      <c r="D51" s="5"/>
      <c r="E51" s="3"/>
      <c r="F51" s="5"/>
      <c r="G51" s="31"/>
      <c r="H51" s="5"/>
      <c r="I51" s="5"/>
      <c r="J51" s="5"/>
      <c r="K51" s="5"/>
      <c r="L51" s="31"/>
      <c r="M51" s="5"/>
      <c r="N51" s="5"/>
    </row>
    <row r="52">
      <c r="A52" s="5"/>
      <c r="B52" s="5"/>
      <c r="C52" s="5"/>
      <c r="D52" s="5"/>
      <c r="E52" s="3"/>
      <c r="F52" s="5"/>
      <c r="G52" s="31"/>
      <c r="H52" s="5"/>
      <c r="I52" s="5"/>
      <c r="J52" s="5"/>
      <c r="K52" s="5"/>
      <c r="L52" s="31"/>
      <c r="M52" s="5"/>
      <c r="N52" s="5"/>
    </row>
    <row r="53">
      <c r="A53" s="5"/>
      <c r="B53" s="5"/>
      <c r="C53" s="5"/>
      <c r="D53" s="5"/>
      <c r="E53" s="3"/>
      <c r="F53" s="5"/>
      <c r="G53" s="31"/>
      <c r="H53" s="5"/>
      <c r="I53" s="5"/>
      <c r="J53" s="5"/>
      <c r="K53" s="5"/>
      <c r="L53" s="31"/>
      <c r="M53" s="5"/>
      <c r="N53" s="5"/>
    </row>
    <row r="54">
      <c r="A54" s="5"/>
      <c r="B54" s="5"/>
      <c r="C54" s="5"/>
      <c r="D54" s="5"/>
      <c r="E54" s="3"/>
      <c r="F54" s="5"/>
      <c r="G54" s="31"/>
      <c r="H54" s="5"/>
      <c r="I54" s="5"/>
      <c r="J54" s="5"/>
      <c r="K54" s="5"/>
      <c r="L54" s="31"/>
      <c r="M54" s="5"/>
      <c r="N54" s="5"/>
    </row>
    <row r="55">
      <c r="A55" s="5"/>
      <c r="B55" s="5"/>
      <c r="C55" s="5"/>
      <c r="D55" s="5"/>
      <c r="E55" s="3"/>
      <c r="F55" s="5"/>
      <c r="G55" s="31"/>
      <c r="H55" s="5"/>
      <c r="I55" s="5"/>
      <c r="J55" s="5"/>
      <c r="K55" s="5"/>
      <c r="L55" s="31"/>
      <c r="M55" s="5"/>
      <c r="N55" s="5"/>
    </row>
    <row r="56">
      <c r="A56" s="5"/>
      <c r="B56" s="5"/>
      <c r="C56" s="5"/>
      <c r="D56" s="5"/>
      <c r="E56" s="3"/>
      <c r="F56" s="5"/>
      <c r="G56" s="31"/>
      <c r="H56" s="5"/>
      <c r="I56" s="5"/>
      <c r="J56" s="5"/>
      <c r="K56" s="5"/>
      <c r="L56" s="31"/>
      <c r="M56" s="5"/>
      <c r="N56" s="5"/>
    </row>
    <row r="57">
      <c r="A57" s="5"/>
      <c r="B57" s="5"/>
      <c r="C57" s="5"/>
      <c r="D57" s="5"/>
      <c r="E57" s="3"/>
      <c r="F57" s="5"/>
      <c r="G57" s="31"/>
      <c r="H57" s="5"/>
      <c r="I57" s="5"/>
      <c r="J57" s="5"/>
      <c r="K57" s="5"/>
      <c r="L57" s="31"/>
      <c r="M57" s="5"/>
      <c r="N57" s="5"/>
    </row>
    <row r="58">
      <c r="A58" s="5"/>
      <c r="B58" s="5"/>
      <c r="C58" s="5"/>
      <c r="D58" s="5"/>
      <c r="E58" s="3"/>
      <c r="F58" s="5"/>
      <c r="G58" s="31"/>
      <c r="H58" s="5"/>
      <c r="I58" s="5"/>
      <c r="J58" s="5"/>
      <c r="K58" s="5"/>
      <c r="L58" s="31"/>
      <c r="M58" s="5"/>
      <c r="N58" s="5"/>
    </row>
    <row r="59">
      <c r="A59" s="5"/>
      <c r="B59" s="5"/>
      <c r="C59" s="5"/>
      <c r="D59" s="5"/>
      <c r="E59" s="3"/>
      <c r="F59" s="5"/>
      <c r="G59" s="31"/>
      <c r="H59" s="5"/>
      <c r="I59" s="5"/>
      <c r="J59" s="5"/>
      <c r="K59" s="5"/>
      <c r="L59" s="31"/>
      <c r="M59" s="5"/>
      <c r="N59" s="5"/>
    </row>
    <row r="60">
      <c r="A60" s="5"/>
      <c r="B60" s="5"/>
      <c r="C60" s="5"/>
      <c r="D60" s="5"/>
      <c r="E60" s="3"/>
      <c r="F60" s="5"/>
      <c r="G60" s="31"/>
      <c r="H60" s="5"/>
      <c r="I60" s="5"/>
      <c r="J60" s="5"/>
      <c r="K60" s="5"/>
      <c r="L60" s="31"/>
      <c r="M60" s="5"/>
      <c r="N60" s="5"/>
    </row>
    <row r="61">
      <c r="A61" s="5"/>
      <c r="B61" s="5"/>
      <c r="C61" s="5"/>
      <c r="D61" s="5"/>
      <c r="E61" s="3"/>
      <c r="F61" s="5"/>
      <c r="G61" s="31"/>
      <c r="H61" s="5"/>
      <c r="I61" s="5"/>
      <c r="J61" s="5"/>
      <c r="K61" s="5"/>
      <c r="L61" s="31"/>
      <c r="M61" s="5"/>
      <c r="N61" s="5"/>
    </row>
    <row r="62">
      <c r="A62" s="5"/>
      <c r="B62" s="5"/>
      <c r="C62" s="5"/>
      <c r="D62" s="5"/>
      <c r="E62" s="3"/>
      <c r="F62" s="5"/>
      <c r="G62" s="31"/>
      <c r="H62" s="5"/>
      <c r="I62" s="5"/>
      <c r="J62" s="5"/>
      <c r="K62" s="5"/>
      <c r="L62" s="31"/>
      <c r="M62" s="5"/>
      <c r="N62" s="5"/>
    </row>
    <row r="63">
      <c r="A63" s="5"/>
      <c r="B63" s="5"/>
      <c r="C63" s="5"/>
      <c r="D63" s="5"/>
      <c r="E63" s="3"/>
      <c r="F63" s="5"/>
      <c r="G63" s="31"/>
      <c r="H63" s="5"/>
      <c r="I63" s="5"/>
      <c r="J63" s="5"/>
      <c r="K63" s="5"/>
      <c r="L63" s="31"/>
      <c r="M63" s="5"/>
      <c r="N63" s="5"/>
    </row>
    <row r="64">
      <c r="A64" s="5"/>
      <c r="B64" s="5"/>
      <c r="C64" s="5"/>
      <c r="D64" s="5"/>
      <c r="E64" s="3"/>
      <c r="F64" s="5"/>
      <c r="G64" s="31"/>
      <c r="H64" s="5"/>
      <c r="I64" s="5"/>
      <c r="J64" s="5"/>
      <c r="K64" s="5"/>
      <c r="L64" s="31"/>
      <c r="M64" s="5"/>
      <c r="N64" s="5"/>
    </row>
    <row r="65">
      <c r="A65" s="5"/>
      <c r="B65" s="5"/>
      <c r="C65" s="5"/>
      <c r="D65" s="5"/>
      <c r="E65" s="3"/>
      <c r="F65" s="5"/>
      <c r="G65" s="31"/>
      <c r="H65" s="5"/>
      <c r="I65" s="5"/>
      <c r="J65" s="5"/>
      <c r="K65" s="5"/>
      <c r="L65" s="31"/>
      <c r="M65" s="5"/>
      <c r="N65" s="5"/>
    </row>
    <row r="66">
      <c r="A66" s="5"/>
      <c r="B66" s="5"/>
      <c r="C66" s="5"/>
      <c r="D66" s="5"/>
      <c r="E66" s="3"/>
      <c r="F66" s="5"/>
      <c r="G66" s="31"/>
      <c r="H66" s="5"/>
      <c r="I66" s="5"/>
      <c r="J66" s="5"/>
      <c r="K66" s="5"/>
      <c r="L66" s="31"/>
      <c r="M66" s="5"/>
      <c r="N66" s="5"/>
    </row>
    <row r="67">
      <c r="A67" s="5"/>
      <c r="B67" s="5"/>
      <c r="C67" s="5"/>
      <c r="D67" s="5"/>
      <c r="E67" s="3"/>
      <c r="F67" s="5"/>
      <c r="G67" s="31"/>
      <c r="H67" s="5"/>
      <c r="I67" s="5"/>
      <c r="J67" s="5"/>
      <c r="K67" s="5"/>
      <c r="L67" s="31"/>
      <c r="M67" s="5"/>
      <c r="N67" s="5"/>
    </row>
    <row r="68">
      <c r="A68" s="5"/>
      <c r="B68" s="5"/>
      <c r="C68" s="5"/>
      <c r="D68" s="5"/>
      <c r="E68" s="3"/>
      <c r="F68" s="5"/>
      <c r="G68" s="31"/>
      <c r="H68" s="5"/>
      <c r="I68" s="5"/>
      <c r="J68" s="5"/>
      <c r="K68" s="5"/>
      <c r="L68" s="31"/>
      <c r="M68" s="5"/>
      <c r="N68" s="5"/>
    </row>
    <row r="69">
      <c r="A69" s="5"/>
      <c r="B69" s="5"/>
      <c r="C69" s="5"/>
      <c r="D69" s="5"/>
      <c r="E69" s="3"/>
      <c r="F69" s="5"/>
      <c r="G69" s="31"/>
      <c r="H69" s="5"/>
      <c r="I69" s="5"/>
      <c r="J69" s="5"/>
      <c r="K69" s="5"/>
      <c r="L69" s="31"/>
      <c r="M69" s="5"/>
      <c r="N69" s="5"/>
    </row>
    <row r="70">
      <c r="A70" s="5"/>
      <c r="B70" s="5"/>
      <c r="C70" s="5"/>
      <c r="D70" s="5"/>
      <c r="E70" s="3"/>
      <c r="F70" s="5"/>
      <c r="G70" s="31"/>
      <c r="H70" s="5"/>
      <c r="I70" s="5"/>
      <c r="J70" s="5"/>
      <c r="K70" s="5"/>
      <c r="L70" s="31"/>
      <c r="M70" s="5"/>
      <c r="N70" s="5"/>
    </row>
    <row r="71">
      <c r="A71" s="5"/>
      <c r="B71" s="5"/>
      <c r="C71" s="5"/>
      <c r="D71" s="5"/>
      <c r="E71" s="3"/>
      <c r="F71" s="5"/>
      <c r="G71" s="31"/>
      <c r="H71" s="5"/>
      <c r="I71" s="5"/>
      <c r="J71" s="5"/>
      <c r="K71" s="5"/>
      <c r="L71" s="31"/>
      <c r="M71" s="5"/>
      <c r="N71" s="5"/>
    </row>
    <row r="72">
      <c r="A72" s="5"/>
      <c r="B72" s="5"/>
      <c r="C72" s="5"/>
      <c r="D72" s="5"/>
      <c r="E72" s="3"/>
      <c r="F72" s="5"/>
      <c r="G72" s="31"/>
      <c r="H72" s="5"/>
      <c r="I72" s="5"/>
      <c r="J72" s="5"/>
      <c r="K72" s="5"/>
      <c r="L72" s="31"/>
      <c r="M72" s="5"/>
      <c r="N72" s="5"/>
    </row>
    <row r="73">
      <c r="A73" s="5"/>
      <c r="B73" s="5"/>
      <c r="C73" s="5"/>
      <c r="D73" s="5"/>
      <c r="E73" s="3"/>
      <c r="F73" s="5"/>
      <c r="G73" s="31"/>
      <c r="H73" s="5"/>
      <c r="I73" s="5"/>
      <c r="J73" s="5"/>
      <c r="K73" s="5"/>
      <c r="L73" s="31"/>
      <c r="M73" s="5"/>
      <c r="N73" s="5"/>
    </row>
    <row r="74">
      <c r="A74" s="5"/>
      <c r="B74" s="5"/>
      <c r="C74" s="5"/>
      <c r="D74" s="5"/>
      <c r="E74" s="3"/>
      <c r="F74" s="5"/>
      <c r="G74" s="31"/>
      <c r="H74" s="5"/>
      <c r="I74" s="5"/>
      <c r="J74" s="5"/>
      <c r="K74" s="5"/>
      <c r="L74" s="31"/>
      <c r="M74" s="5"/>
      <c r="N74" s="5"/>
    </row>
    <row r="75">
      <c r="A75" s="5"/>
      <c r="B75" s="5"/>
      <c r="C75" s="5"/>
      <c r="D75" s="5"/>
      <c r="E75" s="3"/>
      <c r="F75" s="5"/>
      <c r="G75" s="31"/>
      <c r="H75" s="5"/>
      <c r="I75" s="5"/>
      <c r="J75" s="5"/>
      <c r="K75" s="5"/>
      <c r="L75" s="31"/>
      <c r="M75" s="5"/>
      <c r="N75" s="5"/>
    </row>
    <row r="76">
      <c r="A76" s="5"/>
      <c r="B76" s="5"/>
      <c r="C76" s="5"/>
      <c r="D76" s="5"/>
      <c r="E76" s="3"/>
      <c r="F76" s="5"/>
      <c r="G76" s="31"/>
      <c r="H76" s="5"/>
      <c r="I76" s="5"/>
      <c r="J76" s="5"/>
      <c r="K76" s="5"/>
      <c r="L76" s="31"/>
      <c r="M76" s="5"/>
      <c r="N76" s="5"/>
    </row>
    <row r="77">
      <c r="A77" s="5"/>
      <c r="B77" s="5"/>
      <c r="C77" s="5"/>
      <c r="D77" s="5"/>
      <c r="E77" s="3"/>
      <c r="F77" s="5"/>
      <c r="G77" s="31"/>
      <c r="H77" s="5"/>
      <c r="I77" s="5"/>
      <c r="J77" s="5"/>
      <c r="K77" s="5"/>
      <c r="L77" s="31"/>
      <c r="M77" s="5"/>
      <c r="N77" s="5"/>
    </row>
    <row r="78">
      <c r="A78" s="5"/>
      <c r="B78" s="5"/>
      <c r="C78" s="5"/>
      <c r="D78" s="5"/>
      <c r="E78" s="3"/>
      <c r="F78" s="5"/>
      <c r="G78" s="31"/>
      <c r="H78" s="5"/>
      <c r="I78" s="5"/>
      <c r="J78" s="5"/>
      <c r="K78" s="5"/>
      <c r="L78" s="31"/>
      <c r="M78" s="5"/>
      <c r="N78" s="5"/>
    </row>
    <row r="79">
      <c r="A79" s="5"/>
      <c r="B79" s="5"/>
      <c r="C79" s="5"/>
      <c r="D79" s="5"/>
      <c r="E79" s="3"/>
      <c r="F79" s="5"/>
      <c r="G79" s="31"/>
      <c r="H79" s="5"/>
      <c r="I79" s="5"/>
      <c r="J79" s="5"/>
      <c r="K79" s="5"/>
      <c r="L79" s="31"/>
      <c r="M79" s="5"/>
      <c r="N79" s="5"/>
    </row>
    <row r="80">
      <c r="A80" s="5"/>
      <c r="B80" s="5"/>
      <c r="C80" s="5"/>
      <c r="D80" s="5"/>
      <c r="E80" s="3"/>
      <c r="F80" s="5"/>
      <c r="G80" s="31"/>
      <c r="H80" s="5"/>
      <c r="I80" s="5"/>
      <c r="J80" s="5"/>
      <c r="K80" s="5"/>
      <c r="L80" s="31"/>
      <c r="M80" s="5"/>
      <c r="N80" s="5"/>
    </row>
    <row r="81">
      <c r="A81" s="5"/>
      <c r="B81" s="5"/>
      <c r="C81" s="5"/>
      <c r="D81" s="5"/>
      <c r="E81" s="3"/>
      <c r="F81" s="5"/>
      <c r="G81" s="31"/>
      <c r="H81" s="5"/>
      <c r="I81" s="5"/>
      <c r="J81" s="5"/>
      <c r="K81" s="5"/>
      <c r="L81" s="31"/>
      <c r="M81" s="5"/>
      <c r="N81" s="5"/>
    </row>
    <row r="82">
      <c r="A82" s="5"/>
      <c r="B82" s="5"/>
      <c r="C82" s="5"/>
      <c r="D82" s="5"/>
      <c r="E82" s="3"/>
      <c r="F82" s="5"/>
      <c r="G82" s="31"/>
      <c r="H82" s="5"/>
      <c r="I82" s="5"/>
      <c r="J82" s="5"/>
      <c r="K82" s="5"/>
      <c r="L82" s="31"/>
      <c r="M82" s="5"/>
      <c r="N82" s="5"/>
    </row>
    <row r="83">
      <c r="A83" s="5"/>
      <c r="B83" s="5"/>
      <c r="C83" s="5"/>
      <c r="D83" s="5"/>
      <c r="E83" s="3"/>
      <c r="F83" s="5"/>
      <c r="G83" s="31"/>
      <c r="H83" s="5"/>
      <c r="I83" s="5"/>
      <c r="J83" s="5"/>
      <c r="K83" s="5"/>
      <c r="L83" s="31"/>
      <c r="M83" s="5"/>
      <c r="N83" s="5"/>
    </row>
    <row r="84">
      <c r="A84" s="5"/>
      <c r="B84" s="5"/>
      <c r="C84" s="5"/>
      <c r="D84" s="5"/>
      <c r="E84" s="3"/>
      <c r="F84" s="5"/>
      <c r="G84" s="31"/>
      <c r="H84" s="5"/>
      <c r="I84" s="5"/>
      <c r="J84" s="5"/>
      <c r="K84" s="5"/>
      <c r="L84" s="31"/>
      <c r="M84" s="5"/>
      <c r="N84" s="5"/>
    </row>
    <row r="85">
      <c r="A85" s="5"/>
      <c r="B85" s="5"/>
      <c r="C85" s="5"/>
      <c r="D85" s="5"/>
      <c r="E85" s="3"/>
      <c r="F85" s="5"/>
      <c r="G85" s="31"/>
      <c r="H85" s="5"/>
      <c r="I85" s="5"/>
      <c r="J85" s="5"/>
      <c r="K85" s="5"/>
      <c r="L85" s="31"/>
      <c r="M85" s="5"/>
      <c r="N85" s="5"/>
    </row>
    <row r="86">
      <c r="A86" s="5"/>
      <c r="B86" s="5"/>
      <c r="C86" s="5"/>
      <c r="D86" s="5"/>
      <c r="E86" s="3"/>
      <c r="F86" s="5"/>
      <c r="G86" s="31"/>
      <c r="H86" s="5"/>
      <c r="I86" s="5"/>
      <c r="J86" s="5"/>
      <c r="K86" s="5"/>
      <c r="L86" s="31"/>
      <c r="M86" s="5"/>
      <c r="N86" s="5"/>
    </row>
    <row r="87">
      <c r="A87" s="5"/>
      <c r="B87" s="5"/>
      <c r="C87" s="5"/>
      <c r="D87" s="5"/>
      <c r="E87" s="3"/>
      <c r="F87" s="5"/>
      <c r="G87" s="31"/>
      <c r="H87" s="5"/>
      <c r="I87" s="5"/>
      <c r="J87" s="5"/>
      <c r="K87" s="5"/>
      <c r="L87" s="31"/>
      <c r="M87" s="5"/>
      <c r="N87" s="5"/>
    </row>
    <row r="88">
      <c r="A88" s="5"/>
      <c r="B88" s="5"/>
      <c r="C88" s="5"/>
      <c r="D88" s="5"/>
      <c r="E88" s="3"/>
      <c r="F88" s="5"/>
      <c r="G88" s="31"/>
      <c r="H88" s="5"/>
      <c r="I88" s="5"/>
      <c r="J88" s="5"/>
      <c r="K88" s="5"/>
      <c r="L88" s="31"/>
      <c r="M88" s="5"/>
      <c r="N88" s="5"/>
    </row>
    <row r="89">
      <c r="A89" s="5"/>
      <c r="B89" s="5"/>
      <c r="C89" s="5"/>
      <c r="D89" s="5"/>
      <c r="E89" s="3"/>
      <c r="F89" s="5"/>
      <c r="G89" s="31"/>
      <c r="H89" s="5"/>
      <c r="I89" s="5"/>
      <c r="J89" s="5"/>
      <c r="K89" s="5"/>
      <c r="L89" s="31"/>
      <c r="M89" s="5"/>
      <c r="N89" s="5"/>
    </row>
    <row r="90">
      <c r="A90" s="5"/>
      <c r="B90" s="5"/>
      <c r="C90" s="5"/>
      <c r="D90" s="5"/>
      <c r="E90" s="3"/>
      <c r="F90" s="5"/>
      <c r="G90" s="31"/>
      <c r="H90" s="5"/>
      <c r="I90" s="5"/>
      <c r="J90" s="5"/>
      <c r="K90" s="5"/>
      <c r="L90" s="31"/>
      <c r="M90" s="5"/>
      <c r="N90" s="5"/>
    </row>
    <row r="91">
      <c r="A91" s="5"/>
      <c r="B91" s="5"/>
      <c r="C91" s="5"/>
      <c r="D91" s="5"/>
      <c r="E91" s="3"/>
      <c r="F91" s="5"/>
      <c r="G91" s="31"/>
      <c r="H91" s="5"/>
      <c r="I91" s="5"/>
      <c r="J91" s="5"/>
      <c r="K91" s="5"/>
      <c r="L91" s="31"/>
      <c r="M91" s="5"/>
      <c r="N91" s="5"/>
    </row>
    <row r="92">
      <c r="A92" s="5"/>
      <c r="B92" s="5"/>
      <c r="C92" s="5"/>
      <c r="D92" s="5"/>
      <c r="E92" s="3"/>
      <c r="F92" s="5"/>
      <c r="G92" s="31"/>
      <c r="H92" s="5"/>
      <c r="I92" s="5"/>
      <c r="J92" s="5"/>
      <c r="K92" s="5"/>
      <c r="L92" s="31"/>
      <c r="M92" s="5"/>
      <c r="N92" s="5"/>
    </row>
    <row r="93">
      <c r="A93" s="5"/>
      <c r="B93" s="5"/>
      <c r="C93" s="5"/>
      <c r="D93" s="5"/>
      <c r="E93" s="3"/>
      <c r="F93" s="5"/>
      <c r="G93" s="31"/>
      <c r="H93" s="5"/>
      <c r="I93" s="5"/>
      <c r="J93" s="5"/>
      <c r="K93" s="5"/>
      <c r="L93" s="31"/>
      <c r="M93" s="5"/>
      <c r="N93" s="5"/>
    </row>
    <row r="94">
      <c r="A94" s="5"/>
      <c r="B94" s="5"/>
      <c r="C94" s="5"/>
      <c r="D94" s="5"/>
      <c r="E94" s="3"/>
      <c r="F94" s="5"/>
      <c r="G94" s="31"/>
      <c r="H94" s="5"/>
      <c r="I94" s="5"/>
      <c r="J94" s="5"/>
      <c r="K94" s="5"/>
      <c r="L94" s="31"/>
      <c r="M94" s="5"/>
      <c r="N94" s="5"/>
    </row>
    <row r="95">
      <c r="A95" s="5"/>
      <c r="B95" s="5"/>
      <c r="C95" s="5"/>
      <c r="D95" s="5"/>
      <c r="E95" s="3"/>
      <c r="F95" s="5"/>
      <c r="G95" s="31"/>
      <c r="H95" s="5"/>
      <c r="I95" s="5"/>
      <c r="J95" s="5"/>
      <c r="K95" s="5"/>
      <c r="L95" s="31"/>
      <c r="M95" s="5"/>
      <c r="N95" s="5"/>
    </row>
    <row r="96">
      <c r="A96" s="5"/>
      <c r="B96" s="5"/>
      <c r="C96" s="5"/>
      <c r="D96" s="5"/>
      <c r="E96" s="3"/>
      <c r="F96" s="5"/>
      <c r="G96" s="31"/>
      <c r="H96" s="5"/>
      <c r="I96" s="5"/>
      <c r="J96" s="5"/>
      <c r="K96" s="5"/>
      <c r="L96" s="31"/>
      <c r="M96" s="5"/>
      <c r="N96" s="5"/>
    </row>
    <row r="97">
      <c r="A97" s="5"/>
      <c r="B97" s="5"/>
      <c r="C97" s="5"/>
      <c r="D97" s="5"/>
      <c r="E97" s="3"/>
      <c r="F97" s="5"/>
      <c r="G97" s="31"/>
      <c r="H97" s="5"/>
      <c r="I97" s="5"/>
      <c r="J97" s="5"/>
      <c r="K97" s="5"/>
      <c r="L97" s="31"/>
      <c r="M97" s="5"/>
      <c r="N97" s="5"/>
    </row>
    <row r="98">
      <c r="A98" s="5"/>
      <c r="B98" s="5"/>
      <c r="C98" s="5"/>
      <c r="D98" s="5"/>
      <c r="E98" s="3"/>
      <c r="F98" s="5"/>
      <c r="G98" s="31"/>
      <c r="H98" s="5"/>
      <c r="I98" s="5"/>
      <c r="J98" s="5"/>
      <c r="K98" s="5"/>
      <c r="L98" s="31"/>
      <c r="M98" s="5"/>
      <c r="N98" s="5"/>
    </row>
    <row r="99">
      <c r="A99" s="5"/>
      <c r="B99" s="5"/>
      <c r="C99" s="5"/>
      <c r="D99" s="5"/>
      <c r="E99" s="3"/>
      <c r="F99" s="5"/>
      <c r="G99" s="31"/>
      <c r="H99" s="5"/>
      <c r="I99" s="5"/>
      <c r="J99" s="5"/>
      <c r="K99" s="5"/>
      <c r="L99" s="31"/>
      <c r="M99" s="5"/>
      <c r="N99" s="5"/>
    </row>
    <row r="100">
      <c r="A100" s="5"/>
      <c r="B100" s="5"/>
      <c r="C100" s="5"/>
      <c r="D100" s="5"/>
      <c r="E100" s="3"/>
      <c r="F100" s="5"/>
      <c r="G100" s="31"/>
      <c r="H100" s="5"/>
      <c r="I100" s="5"/>
      <c r="J100" s="5"/>
      <c r="K100" s="5"/>
      <c r="L100" s="31"/>
      <c r="M100" s="5"/>
      <c r="N100" s="5"/>
    </row>
    <row r="101">
      <c r="A101" s="5"/>
      <c r="B101" s="5"/>
      <c r="C101" s="5"/>
      <c r="D101" s="5"/>
      <c r="E101" s="3"/>
      <c r="F101" s="5"/>
      <c r="G101" s="31"/>
      <c r="H101" s="5"/>
      <c r="I101" s="5"/>
      <c r="J101" s="5"/>
      <c r="K101" s="5"/>
      <c r="L101" s="31"/>
      <c r="M101" s="5"/>
      <c r="N101" s="5"/>
    </row>
    <row r="102">
      <c r="A102" s="5"/>
      <c r="B102" s="5"/>
      <c r="C102" s="5"/>
      <c r="D102" s="5"/>
      <c r="E102" s="3"/>
      <c r="F102" s="5"/>
      <c r="G102" s="31"/>
      <c r="H102" s="5"/>
      <c r="I102" s="5"/>
      <c r="J102" s="5"/>
      <c r="K102" s="5"/>
      <c r="L102" s="31"/>
      <c r="M102" s="5"/>
      <c r="N102" s="5"/>
    </row>
    <row r="103">
      <c r="A103" s="5"/>
      <c r="B103" s="5"/>
      <c r="C103" s="5"/>
      <c r="D103" s="5"/>
      <c r="E103" s="3"/>
      <c r="F103" s="5"/>
      <c r="G103" s="31"/>
      <c r="H103" s="5"/>
      <c r="I103" s="5"/>
      <c r="J103" s="5"/>
      <c r="K103" s="5"/>
      <c r="L103" s="31"/>
      <c r="M103" s="5"/>
      <c r="N103" s="5"/>
    </row>
    <row r="104">
      <c r="A104" s="5"/>
      <c r="B104" s="5"/>
      <c r="C104" s="5"/>
      <c r="D104" s="5"/>
      <c r="E104" s="3"/>
      <c r="F104" s="5"/>
      <c r="G104" s="31"/>
      <c r="H104" s="5"/>
      <c r="I104" s="5"/>
      <c r="J104" s="5"/>
      <c r="K104" s="5"/>
      <c r="L104" s="31"/>
      <c r="M104" s="5"/>
      <c r="N104" s="5"/>
    </row>
    <row r="105">
      <c r="A105" s="5"/>
      <c r="B105" s="5"/>
      <c r="C105" s="5"/>
      <c r="D105" s="5"/>
      <c r="E105" s="3"/>
      <c r="F105" s="5"/>
      <c r="G105" s="31"/>
      <c r="H105" s="5"/>
      <c r="I105" s="5"/>
      <c r="J105" s="5"/>
      <c r="K105" s="5"/>
      <c r="L105" s="31"/>
      <c r="M105" s="5"/>
      <c r="N105" s="5"/>
    </row>
    <row r="106">
      <c r="A106" s="5"/>
      <c r="B106" s="5"/>
      <c r="C106" s="5"/>
      <c r="D106" s="5"/>
      <c r="E106" s="3"/>
      <c r="F106" s="5"/>
      <c r="G106" s="31"/>
      <c r="H106" s="5"/>
      <c r="I106" s="5"/>
      <c r="J106" s="5"/>
      <c r="K106" s="5"/>
      <c r="L106" s="31"/>
      <c r="M106" s="5"/>
      <c r="N106" s="5"/>
    </row>
    <row r="107">
      <c r="A107" s="5"/>
      <c r="B107" s="5"/>
      <c r="C107" s="5"/>
      <c r="D107" s="5"/>
      <c r="E107" s="3"/>
      <c r="F107" s="5"/>
      <c r="G107" s="31"/>
      <c r="H107" s="5"/>
      <c r="I107" s="5"/>
      <c r="J107" s="5"/>
      <c r="K107" s="5"/>
      <c r="L107" s="31"/>
      <c r="M107" s="5"/>
      <c r="N107" s="5"/>
    </row>
    <row r="108">
      <c r="A108" s="5"/>
      <c r="B108" s="5"/>
      <c r="C108" s="5"/>
      <c r="D108" s="5"/>
      <c r="E108" s="3"/>
      <c r="F108" s="5"/>
      <c r="G108" s="31"/>
      <c r="H108" s="5"/>
      <c r="I108" s="5"/>
      <c r="J108" s="5"/>
      <c r="K108" s="5"/>
      <c r="L108" s="31"/>
      <c r="M108" s="5"/>
      <c r="N108" s="5"/>
    </row>
    <row r="109">
      <c r="A109" s="5"/>
      <c r="B109" s="5"/>
      <c r="C109" s="5"/>
      <c r="D109" s="5"/>
      <c r="E109" s="3"/>
      <c r="F109" s="5"/>
      <c r="G109" s="31"/>
      <c r="H109" s="5"/>
      <c r="I109" s="5"/>
      <c r="J109" s="5"/>
      <c r="K109" s="5"/>
      <c r="L109" s="31"/>
      <c r="M109" s="5"/>
      <c r="N109" s="5"/>
    </row>
    <row r="110">
      <c r="A110" s="5"/>
      <c r="B110" s="5"/>
      <c r="C110" s="5"/>
      <c r="D110" s="5"/>
      <c r="E110" s="3"/>
      <c r="F110" s="5"/>
      <c r="G110" s="31"/>
      <c r="H110" s="5"/>
      <c r="I110" s="5"/>
      <c r="J110" s="5"/>
      <c r="K110" s="5"/>
      <c r="L110" s="31"/>
      <c r="M110" s="5"/>
      <c r="N110" s="5"/>
    </row>
    <row r="111">
      <c r="A111" s="5"/>
      <c r="B111" s="5"/>
      <c r="C111" s="5"/>
      <c r="D111" s="5"/>
      <c r="E111" s="3"/>
      <c r="F111" s="5"/>
      <c r="G111" s="31"/>
      <c r="H111" s="5"/>
      <c r="I111" s="5"/>
      <c r="J111" s="5"/>
      <c r="K111" s="5"/>
      <c r="L111" s="31"/>
      <c r="M111" s="5"/>
      <c r="N111" s="5"/>
    </row>
    <row r="112">
      <c r="A112" s="5"/>
      <c r="B112" s="5"/>
      <c r="C112" s="5"/>
      <c r="D112" s="5"/>
      <c r="E112" s="3"/>
      <c r="F112" s="5"/>
      <c r="G112" s="31"/>
      <c r="H112" s="5"/>
      <c r="I112" s="5"/>
      <c r="J112" s="5"/>
      <c r="K112" s="5"/>
      <c r="L112" s="31"/>
      <c r="M112" s="5"/>
      <c r="N112" s="5"/>
    </row>
    <row r="113">
      <c r="A113" s="5"/>
      <c r="B113" s="5"/>
      <c r="C113" s="5"/>
      <c r="D113" s="5"/>
      <c r="E113" s="3"/>
      <c r="F113" s="5"/>
      <c r="G113" s="31"/>
      <c r="H113" s="5"/>
      <c r="I113" s="5"/>
      <c r="J113" s="5"/>
      <c r="K113" s="5"/>
      <c r="L113" s="31"/>
      <c r="M113" s="5"/>
      <c r="N113" s="5"/>
    </row>
    <row r="114">
      <c r="A114" s="5"/>
      <c r="B114" s="5"/>
      <c r="C114" s="5"/>
      <c r="D114" s="5"/>
      <c r="E114" s="3"/>
      <c r="F114" s="5"/>
      <c r="G114" s="31"/>
      <c r="H114" s="5"/>
      <c r="I114" s="5"/>
      <c r="J114" s="5"/>
      <c r="K114" s="5"/>
      <c r="L114" s="31"/>
      <c r="M114" s="5"/>
      <c r="N114" s="5"/>
    </row>
    <row r="115">
      <c r="A115" s="5"/>
      <c r="B115" s="5"/>
      <c r="C115" s="5"/>
      <c r="D115" s="5"/>
      <c r="E115" s="3"/>
      <c r="F115" s="5"/>
      <c r="G115" s="31"/>
      <c r="H115" s="5"/>
      <c r="I115" s="5"/>
      <c r="J115" s="5"/>
      <c r="K115" s="5"/>
      <c r="L115" s="31"/>
      <c r="M115" s="5"/>
      <c r="N115" s="5"/>
    </row>
    <row r="116">
      <c r="A116" s="5"/>
      <c r="B116" s="5"/>
      <c r="C116" s="5"/>
      <c r="D116" s="5"/>
      <c r="E116" s="3"/>
      <c r="F116" s="5"/>
      <c r="G116" s="31"/>
      <c r="H116" s="5"/>
      <c r="I116" s="5"/>
      <c r="J116" s="5"/>
      <c r="K116" s="5"/>
      <c r="L116" s="31"/>
      <c r="M116" s="5"/>
      <c r="N116" s="5"/>
    </row>
    <row r="117">
      <c r="A117" s="5"/>
      <c r="B117" s="5"/>
      <c r="C117" s="5"/>
      <c r="D117" s="5"/>
      <c r="E117" s="3"/>
      <c r="F117" s="5"/>
      <c r="G117" s="31"/>
      <c r="H117" s="5"/>
      <c r="I117" s="5"/>
      <c r="J117" s="5"/>
      <c r="K117" s="5"/>
      <c r="L117" s="31"/>
      <c r="M117" s="5"/>
      <c r="N117" s="5"/>
    </row>
    <row r="118">
      <c r="A118" s="5"/>
      <c r="B118" s="5"/>
      <c r="C118" s="5"/>
      <c r="D118" s="5"/>
      <c r="E118" s="3"/>
      <c r="F118" s="5"/>
      <c r="G118" s="31"/>
      <c r="H118" s="5"/>
      <c r="I118" s="5"/>
      <c r="J118" s="5"/>
      <c r="K118" s="5"/>
      <c r="L118" s="31"/>
      <c r="M118" s="5"/>
      <c r="N118" s="5"/>
    </row>
    <row r="119">
      <c r="A119" s="5"/>
      <c r="B119" s="5"/>
      <c r="C119" s="5"/>
      <c r="D119" s="5"/>
      <c r="E119" s="3"/>
      <c r="F119" s="5"/>
      <c r="G119" s="31"/>
      <c r="H119" s="5"/>
      <c r="I119" s="5"/>
      <c r="J119" s="5"/>
      <c r="K119" s="5"/>
      <c r="L119" s="31"/>
      <c r="M119" s="5"/>
      <c r="N119" s="5"/>
    </row>
    <row r="120">
      <c r="A120" s="5"/>
      <c r="B120" s="5"/>
      <c r="C120" s="5"/>
      <c r="D120" s="5"/>
      <c r="E120" s="3"/>
      <c r="F120" s="5"/>
      <c r="G120" s="31"/>
      <c r="H120" s="5"/>
      <c r="I120" s="5"/>
      <c r="J120" s="5"/>
      <c r="K120" s="5"/>
      <c r="L120" s="31"/>
      <c r="M120" s="5"/>
      <c r="N120" s="5"/>
    </row>
    <row r="121">
      <c r="A121" s="5"/>
      <c r="B121" s="5"/>
      <c r="C121" s="5"/>
      <c r="D121" s="5"/>
      <c r="E121" s="3"/>
      <c r="F121" s="5"/>
      <c r="G121" s="31"/>
      <c r="H121" s="5"/>
      <c r="I121" s="5"/>
      <c r="J121" s="5"/>
      <c r="K121" s="5"/>
      <c r="L121" s="31"/>
      <c r="M121" s="5"/>
      <c r="N121" s="5"/>
    </row>
    <row r="122">
      <c r="A122" s="5"/>
      <c r="B122" s="5"/>
      <c r="C122" s="5"/>
      <c r="D122" s="5"/>
      <c r="E122" s="3"/>
      <c r="F122" s="5"/>
      <c r="G122" s="31"/>
      <c r="H122" s="5"/>
      <c r="I122" s="5"/>
      <c r="J122" s="5"/>
      <c r="K122" s="5"/>
      <c r="L122" s="31"/>
      <c r="M122" s="5"/>
      <c r="N122" s="5"/>
    </row>
    <row r="123">
      <c r="A123" s="5"/>
      <c r="B123" s="5"/>
      <c r="C123" s="5"/>
      <c r="D123" s="5"/>
      <c r="E123" s="3"/>
      <c r="F123" s="5"/>
      <c r="G123" s="31"/>
      <c r="H123" s="5"/>
      <c r="I123" s="5"/>
      <c r="J123" s="5"/>
      <c r="K123" s="5"/>
      <c r="L123" s="31"/>
      <c r="M123" s="5"/>
      <c r="N123" s="5"/>
    </row>
    <row r="124">
      <c r="A124" s="5"/>
      <c r="B124" s="5"/>
      <c r="C124" s="5"/>
      <c r="D124" s="5"/>
      <c r="E124" s="3"/>
      <c r="F124" s="5"/>
      <c r="G124" s="31"/>
      <c r="H124" s="5"/>
      <c r="I124" s="5"/>
      <c r="J124" s="5"/>
      <c r="K124" s="5"/>
      <c r="L124" s="31"/>
      <c r="M124" s="5"/>
      <c r="N124" s="5"/>
    </row>
    <row r="125">
      <c r="A125" s="5"/>
      <c r="B125" s="5"/>
      <c r="C125" s="5"/>
      <c r="D125" s="5"/>
      <c r="E125" s="3"/>
      <c r="F125" s="5"/>
      <c r="G125" s="31"/>
      <c r="H125" s="5"/>
      <c r="I125" s="5"/>
      <c r="J125" s="5"/>
      <c r="K125" s="5"/>
      <c r="L125" s="31"/>
      <c r="M125" s="5"/>
      <c r="N125" s="5"/>
    </row>
    <row r="126">
      <c r="A126" s="5"/>
      <c r="B126" s="5"/>
      <c r="C126" s="5"/>
      <c r="D126" s="5"/>
      <c r="E126" s="3"/>
      <c r="F126" s="5"/>
      <c r="G126" s="31"/>
      <c r="H126" s="5"/>
      <c r="I126" s="5"/>
      <c r="J126" s="5"/>
      <c r="K126" s="5"/>
      <c r="L126" s="31"/>
      <c r="M126" s="5"/>
      <c r="N126" s="5"/>
    </row>
    <row r="127">
      <c r="A127" s="5"/>
      <c r="B127" s="5"/>
      <c r="C127" s="5"/>
      <c r="D127" s="5"/>
      <c r="E127" s="3"/>
      <c r="F127" s="5"/>
      <c r="G127" s="31"/>
      <c r="H127" s="5"/>
      <c r="I127" s="5"/>
      <c r="J127" s="5"/>
      <c r="K127" s="5"/>
      <c r="L127" s="31"/>
      <c r="M127" s="5"/>
      <c r="N127" s="5"/>
    </row>
    <row r="128">
      <c r="A128" s="5"/>
      <c r="B128" s="5"/>
      <c r="C128" s="5"/>
      <c r="D128" s="5"/>
      <c r="E128" s="3"/>
      <c r="F128" s="5"/>
      <c r="G128" s="31"/>
      <c r="H128" s="5"/>
      <c r="I128" s="5"/>
      <c r="J128" s="5"/>
      <c r="K128" s="5"/>
      <c r="L128" s="31"/>
      <c r="M128" s="5"/>
      <c r="N128" s="5"/>
    </row>
    <row r="129">
      <c r="A129" s="5"/>
      <c r="B129" s="5"/>
      <c r="C129" s="5"/>
      <c r="D129" s="5"/>
      <c r="E129" s="3"/>
      <c r="F129" s="5"/>
      <c r="G129" s="31"/>
      <c r="H129" s="5"/>
      <c r="I129" s="5"/>
      <c r="J129" s="5"/>
      <c r="K129" s="5"/>
      <c r="L129" s="31"/>
      <c r="M129" s="5"/>
      <c r="N129" s="5"/>
    </row>
    <row r="130">
      <c r="A130" s="5"/>
      <c r="B130" s="5"/>
      <c r="C130" s="5"/>
      <c r="D130" s="5"/>
      <c r="E130" s="3"/>
      <c r="F130" s="5"/>
      <c r="G130" s="31"/>
      <c r="H130" s="5"/>
      <c r="I130" s="5"/>
      <c r="J130" s="5"/>
      <c r="K130" s="5"/>
      <c r="L130" s="31"/>
      <c r="M130" s="5"/>
      <c r="N130" s="5"/>
    </row>
    <row r="131">
      <c r="A131" s="5"/>
      <c r="B131" s="5"/>
      <c r="C131" s="5"/>
      <c r="D131" s="5"/>
      <c r="E131" s="3"/>
      <c r="F131" s="5"/>
      <c r="G131" s="31"/>
      <c r="H131" s="5"/>
      <c r="I131" s="5"/>
      <c r="J131" s="5"/>
      <c r="K131" s="5"/>
      <c r="L131" s="31"/>
      <c r="M131" s="5"/>
      <c r="N131" s="5"/>
    </row>
    <row r="132">
      <c r="A132" s="5"/>
      <c r="B132" s="5"/>
      <c r="C132" s="5"/>
      <c r="D132" s="5"/>
      <c r="E132" s="3"/>
      <c r="F132" s="5"/>
      <c r="G132" s="31"/>
      <c r="H132" s="5"/>
      <c r="I132" s="5"/>
      <c r="J132" s="5"/>
      <c r="K132" s="5"/>
      <c r="L132" s="31"/>
      <c r="M132" s="5"/>
      <c r="N132" s="5"/>
    </row>
    <row r="133">
      <c r="A133" s="5"/>
      <c r="B133" s="5"/>
      <c r="C133" s="5"/>
      <c r="D133" s="5"/>
      <c r="E133" s="3"/>
      <c r="F133" s="5"/>
      <c r="G133" s="31"/>
      <c r="H133" s="5"/>
      <c r="I133" s="5"/>
      <c r="J133" s="5"/>
      <c r="K133" s="5"/>
      <c r="L133" s="31"/>
      <c r="M133" s="5"/>
      <c r="N133" s="5"/>
    </row>
    <row r="134">
      <c r="A134" s="5"/>
      <c r="B134" s="5"/>
      <c r="C134" s="5"/>
      <c r="D134" s="5"/>
      <c r="E134" s="3"/>
      <c r="F134" s="5"/>
      <c r="G134" s="31"/>
      <c r="H134" s="5"/>
      <c r="I134" s="5"/>
      <c r="J134" s="5"/>
      <c r="K134" s="5"/>
      <c r="L134" s="31"/>
      <c r="M134" s="5"/>
      <c r="N134" s="5"/>
    </row>
    <row r="135">
      <c r="A135" s="5"/>
      <c r="B135" s="5"/>
      <c r="C135" s="5"/>
      <c r="D135" s="5"/>
      <c r="E135" s="3"/>
      <c r="F135" s="5"/>
      <c r="G135" s="31"/>
      <c r="H135" s="5"/>
      <c r="I135" s="5"/>
      <c r="J135" s="5"/>
      <c r="K135" s="5"/>
      <c r="L135" s="31"/>
      <c r="M135" s="5"/>
      <c r="N135" s="5"/>
    </row>
    <row r="136">
      <c r="A136" s="5"/>
      <c r="B136" s="5"/>
      <c r="C136" s="5"/>
      <c r="D136" s="5"/>
      <c r="E136" s="3"/>
      <c r="F136" s="5"/>
      <c r="G136" s="31"/>
      <c r="H136" s="5"/>
      <c r="I136" s="5"/>
      <c r="J136" s="5"/>
      <c r="K136" s="5"/>
      <c r="L136" s="31"/>
      <c r="M136" s="5"/>
      <c r="N136" s="5"/>
    </row>
    <row r="137">
      <c r="A137" s="5"/>
      <c r="B137" s="5"/>
      <c r="C137" s="5"/>
      <c r="D137" s="5"/>
      <c r="E137" s="3"/>
      <c r="F137" s="5"/>
      <c r="G137" s="31"/>
      <c r="H137" s="5"/>
      <c r="I137" s="5"/>
      <c r="J137" s="5"/>
      <c r="K137" s="5"/>
      <c r="L137" s="31"/>
      <c r="M137" s="5"/>
      <c r="N137" s="5"/>
    </row>
    <row r="138">
      <c r="A138" s="5"/>
      <c r="B138" s="5"/>
      <c r="C138" s="5"/>
      <c r="D138" s="5"/>
      <c r="E138" s="3"/>
      <c r="F138" s="5"/>
      <c r="G138" s="31"/>
      <c r="H138" s="5"/>
      <c r="I138" s="5"/>
      <c r="J138" s="5"/>
      <c r="K138" s="5"/>
      <c r="L138" s="31"/>
      <c r="M138" s="5"/>
      <c r="N138" s="5"/>
    </row>
    <row r="139">
      <c r="A139" s="5"/>
      <c r="B139" s="5"/>
      <c r="C139" s="5"/>
      <c r="D139" s="5"/>
      <c r="E139" s="3"/>
      <c r="F139" s="5"/>
      <c r="G139" s="31"/>
      <c r="H139" s="5"/>
      <c r="I139" s="5"/>
      <c r="J139" s="5"/>
      <c r="K139" s="5"/>
      <c r="L139" s="31"/>
      <c r="M139" s="5"/>
      <c r="N139" s="5"/>
    </row>
    <row r="140">
      <c r="A140" s="5"/>
      <c r="B140" s="5"/>
      <c r="C140" s="5"/>
      <c r="D140" s="5"/>
      <c r="E140" s="3"/>
      <c r="F140" s="5"/>
      <c r="G140" s="31"/>
      <c r="H140" s="5"/>
      <c r="I140" s="5"/>
      <c r="J140" s="5"/>
      <c r="K140" s="5"/>
      <c r="L140" s="31"/>
      <c r="M140" s="5"/>
      <c r="N140" s="5"/>
    </row>
    <row r="141">
      <c r="A141" s="5"/>
      <c r="B141" s="5"/>
      <c r="C141" s="5"/>
      <c r="D141" s="5"/>
      <c r="E141" s="3"/>
      <c r="F141" s="5"/>
      <c r="G141" s="31"/>
      <c r="H141" s="5"/>
      <c r="I141" s="5"/>
      <c r="J141" s="5"/>
      <c r="K141" s="5"/>
      <c r="L141" s="31"/>
      <c r="M141" s="5"/>
      <c r="N141" s="5"/>
    </row>
    <row r="142">
      <c r="A142" s="5"/>
      <c r="B142" s="5"/>
      <c r="C142" s="5"/>
      <c r="D142" s="5"/>
      <c r="E142" s="3"/>
      <c r="F142" s="5"/>
      <c r="G142" s="31"/>
      <c r="H142" s="5"/>
      <c r="I142" s="5"/>
      <c r="J142" s="5"/>
      <c r="K142" s="5"/>
      <c r="L142" s="31"/>
      <c r="M142" s="5"/>
      <c r="N142" s="5"/>
    </row>
    <row r="143">
      <c r="A143" s="5"/>
      <c r="B143" s="5"/>
      <c r="C143" s="5"/>
      <c r="D143" s="5"/>
      <c r="E143" s="3"/>
      <c r="F143" s="5"/>
      <c r="G143" s="31"/>
      <c r="H143" s="5"/>
      <c r="I143" s="5"/>
      <c r="J143" s="5"/>
      <c r="K143" s="5"/>
      <c r="L143" s="31"/>
      <c r="M143" s="5"/>
      <c r="N143" s="5"/>
    </row>
    <row r="144">
      <c r="A144" s="5"/>
      <c r="B144" s="5"/>
      <c r="C144" s="5"/>
      <c r="D144" s="5"/>
      <c r="E144" s="3"/>
      <c r="F144" s="5"/>
      <c r="G144" s="31"/>
      <c r="H144" s="5"/>
      <c r="I144" s="5"/>
      <c r="J144" s="5"/>
      <c r="K144" s="5"/>
      <c r="L144" s="31"/>
      <c r="M144" s="5"/>
      <c r="N144" s="5"/>
    </row>
    <row r="145">
      <c r="A145" s="5"/>
      <c r="B145" s="5"/>
      <c r="C145" s="5"/>
      <c r="D145" s="5"/>
      <c r="E145" s="3"/>
      <c r="F145" s="5"/>
      <c r="G145" s="31"/>
      <c r="H145" s="5"/>
      <c r="I145" s="5"/>
      <c r="J145" s="5"/>
      <c r="K145" s="5"/>
      <c r="L145" s="31"/>
      <c r="M145" s="5"/>
      <c r="N145" s="5"/>
    </row>
    <row r="146">
      <c r="A146" s="5"/>
      <c r="B146" s="5"/>
      <c r="C146" s="5"/>
      <c r="D146" s="5"/>
      <c r="E146" s="3"/>
      <c r="F146" s="5"/>
      <c r="G146" s="31"/>
      <c r="H146" s="5"/>
      <c r="I146" s="5"/>
      <c r="J146" s="5"/>
      <c r="K146" s="5"/>
      <c r="L146" s="31"/>
      <c r="M146" s="5"/>
      <c r="N146" s="5"/>
    </row>
    <row r="147">
      <c r="A147" s="5"/>
      <c r="B147" s="5"/>
      <c r="C147" s="5"/>
      <c r="D147" s="5"/>
      <c r="E147" s="3"/>
      <c r="F147" s="5"/>
      <c r="G147" s="31"/>
      <c r="H147" s="5"/>
      <c r="I147" s="5"/>
      <c r="J147" s="5"/>
      <c r="K147" s="5"/>
      <c r="L147" s="31"/>
      <c r="M147" s="5"/>
      <c r="N147" s="5"/>
    </row>
    <row r="148">
      <c r="A148" s="5"/>
      <c r="B148" s="5"/>
      <c r="C148" s="5"/>
      <c r="D148" s="5"/>
      <c r="E148" s="3"/>
      <c r="F148" s="5"/>
      <c r="G148" s="31"/>
      <c r="H148" s="5"/>
      <c r="I148" s="5"/>
      <c r="J148" s="5"/>
      <c r="K148" s="5"/>
      <c r="L148" s="31"/>
      <c r="M148" s="5"/>
      <c r="N148" s="5"/>
    </row>
    <row r="149">
      <c r="A149" s="5"/>
      <c r="B149" s="5"/>
      <c r="C149" s="5"/>
      <c r="D149" s="5"/>
      <c r="E149" s="3"/>
      <c r="F149" s="5"/>
      <c r="G149" s="31"/>
      <c r="H149" s="5"/>
      <c r="I149" s="5"/>
      <c r="J149" s="5"/>
      <c r="K149" s="5"/>
      <c r="L149" s="31"/>
      <c r="M149" s="5"/>
      <c r="N149" s="5"/>
    </row>
    <row r="150">
      <c r="A150" s="5"/>
      <c r="B150" s="5"/>
      <c r="C150" s="5"/>
      <c r="D150" s="5"/>
      <c r="E150" s="3"/>
      <c r="F150" s="5"/>
      <c r="G150" s="31"/>
      <c r="H150" s="5"/>
      <c r="I150" s="5"/>
      <c r="J150" s="5"/>
      <c r="K150" s="5"/>
      <c r="L150" s="31"/>
      <c r="M150" s="5"/>
      <c r="N150" s="5"/>
    </row>
    <row r="151">
      <c r="A151" s="5"/>
      <c r="B151" s="5"/>
      <c r="C151" s="5"/>
      <c r="D151" s="5"/>
      <c r="E151" s="3"/>
      <c r="F151" s="5"/>
      <c r="G151" s="31"/>
      <c r="H151" s="5"/>
      <c r="I151" s="5"/>
      <c r="J151" s="5"/>
      <c r="K151" s="5"/>
      <c r="L151" s="31"/>
      <c r="M151" s="5"/>
      <c r="N151" s="5"/>
    </row>
    <row r="152">
      <c r="A152" s="5"/>
      <c r="B152" s="5"/>
      <c r="C152" s="5"/>
      <c r="D152" s="5"/>
      <c r="E152" s="3"/>
      <c r="F152" s="5"/>
      <c r="G152" s="31"/>
      <c r="H152" s="5"/>
      <c r="I152" s="5"/>
      <c r="J152" s="5"/>
      <c r="K152" s="5"/>
      <c r="L152" s="31"/>
      <c r="M152" s="5"/>
      <c r="N152" s="5"/>
    </row>
    <row r="153">
      <c r="A153" s="5"/>
      <c r="B153" s="5"/>
      <c r="C153" s="5"/>
      <c r="D153" s="5"/>
      <c r="E153" s="3"/>
      <c r="F153" s="5"/>
      <c r="G153" s="31"/>
      <c r="H153" s="5"/>
      <c r="I153" s="5"/>
      <c r="J153" s="5"/>
      <c r="K153" s="5"/>
      <c r="L153" s="31"/>
      <c r="M153" s="5"/>
      <c r="N153" s="5"/>
    </row>
    <row r="154">
      <c r="A154" s="5"/>
      <c r="B154" s="5"/>
      <c r="C154" s="5"/>
      <c r="D154" s="5"/>
      <c r="E154" s="3"/>
      <c r="F154" s="5"/>
      <c r="G154" s="31"/>
      <c r="H154" s="5"/>
      <c r="I154" s="5"/>
      <c r="J154" s="5"/>
      <c r="K154" s="5"/>
      <c r="L154" s="31"/>
      <c r="M154" s="5"/>
      <c r="N154" s="5"/>
    </row>
    <row r="155">
      <c r="A155" s="5"/>
      <c r="B155" s="5"/>
      <c r="C155" s="5"/>
      <c r="D155" s="5"/>
      <c r="E155" s="3"/>
      <c r="F155" s="5"/>
      <c r="G155" s="31"/>
      <c r="H155" s="5"/>
      <c r="I155" s="5"/>
      <c r="J155" s="5"/>
      <c r="K155" s="5"/>
      <c r="L155" s="31"/>
      <c r="M155" s="5"/>
      <c r="N155" s="5"/>
    </row>
    <row r="156">
      <c r="A156" s="5"/>
      <c r="B156" s="5"/>
      <c r="C156" s="5"/>
      <c r="D156" s="5"/>
      <c r="E156" s="3"/>
      <c r="F156" s="5"/>
      <c r="G156" s="31"/>
      <c r="H156" s="5"/>
      <c r="I156" s="5"/>
      <c r="J156" s="5"/>
      <c r="K156" s="5"/>
      <c r="L156" s="31"/>
      <c r="M156" s="5"/>
      <c r="N156" s="5"/>
    </row>
    <row r="157">
      <c r="A157" s="5"/>
      <c r="B157" s="5"/>
      <c r="C157" s="5"/>
      <c r="D157" s="5"/>
      <c r="E157" s="3"/>
      <c r="F157" s="5"/>
      <c r="G157" s="31"/>
      <c r="H157" s="5"/>
      <c r="I157" s="5"/>
      <c r="J157" s="5"/>
      <c r="K157" s="5"/>
      <c r="L157" s="31"/>
      <c r="M157" s="5"/>
      <c r="N157" s="5"/>
    </row>
    <row r="158">
      <c r="A158" s="5"/>
      <c r="B158" s="5"/>
      <c r="C158" s="5"/>
      <c r="D158" s="5"/>
      <c r="E158" s="3"/>
      <c r="F158" s="5"/>
      <c r="G158" s="31"/>
      <c r="H158" s="5"/>
      <c r="I158" s="5"/>
      <c r="J158" s="5"/>
      <c r="K158" s="5"/>
      <c r="L158" s="31"/>
      <c r="M158" s="5"/>
      <c r="N158" s="5"/>
    </row>
    <row r="159">
      <c r="A159" s="5"/>
      <c r="B159" s="5"/>
      <c r="C159" s="5"/>
      <c r="D159" s="5"/>
      <c r="E159" s="3"/>
      <c r="F159" s="5"/>
      <c r="G159" s="31"/>
      <c r="H159" s="5"/>
      <c r="I159" s="5"/>
      <c r="J159" s="5"/>
      <c r="K159" s="5"/>
      <c r="L159" s="31"/>
      <c r="M159" s="5"/>
      <c r="N159" s="5"/>
    </row>
    <row r="160">
      <c r="A160" s="5"/>
      <c r="B160" s="5"/>
      <c r="C160" s="5"/>
      <c r="D160" s="5"/>
      <c r="E160" s="3"/>
      <c r="F160" s="5"/>
      <c r="G160" s="31"/>
      <c r="H160" s="5"/>
      <c r="I160" s="5"/>
      <c r="J160" s="5"/>
      <c r="K160" s="5"/>
      <c r="L160" s="31"/>
      <c r="M160" s="5"/>
      <c r="N160" s="5"/>
    </row>
    <row r="161">
      <c r="A161" s="5"/>
      <c r="B161" s="5"/>
      <c r="C161" s="5"/>
      <c r="D161" s="5"/>
      <c r="E161" s="3"/>
      <c r="F161" s="5"/>
      <c r="G161" s="31"/>
      <c r="H161" s="5"/>
      <c r="I161" s="5"/>
      <c r="J161" s="5"/>
      <c r="K161" s="5"/>
      <c r="L161" s="31"/>
      <c r="M161" s="5"/>
      <c r="N161" s="5"/>
    </row>
    <row r="162">
      <c r="A162" s="5"/>
      <c r="B162" s="5"/>
      <c r="C162" s="5"/>
      <c r="D162" s="5"/>
      <c r="E162" s="3"/>
      <c r="F162" s="5"/>
      <c r="G162" s="31"/>
      <c r="H162" s="5"/>
      <c r="I162" s="5"/>
      <c r="J162" s="5"/>
      <c r="K162" s="5"/>
      <c r="L162" s="31"/>
      <c r="M162" s="5"/>
      <c r="N162" s="5"/>
    </row>
    <row r="163">
      <c r="A163" s="5"/>
      <c r="B163" s="5"/>
      <c r="C163" s="5"/>
      <c r="D163" s="5"/>
      <c r="E163" s="3"/>
      <c r="F163" s="5"/>
      <c r="G163" s="31"/>
      <c r="H163" s="5"/>
      <c r="I163" s="5"/>
      <c r="J163" s="5"/>
      <c r="K163" s="5"/>
      <c r="L163" s="31"/>
      <c r="M163" s="5"/>
      <c r="N163" s="5"/>
    </row>
    <row r="164">
      <c r="A164" s="5"/>
      <c r="B164" s="5"/>
      <c r="C164" s="5"/>
      <c r="D164" s="5"/>
      <c r="E164" s="3"/>
      <c r="F164" s="5"/>
      <c r="G164" s="31"/>
      <c r="H164" s="5"/>
      <c r="I164" s="5"/>
      <c r="J164" s="5"/>
      <c r="K164" s="5"/>
      <c r="L164" s="31"/>
      <c r="M164" s="5"/>
      <c r="N164" s="5"/>
    </row>
    <row r="165">
      <c r="A165" s="5"/>
      <c r="B165" s="5"/>
      <c r="C165" s="5"/>
      <c r="D165" s="5"/>
      <c r="E165" s="3"/>
      <c r="F165" s="5"/>
      <c r="G165" s="31"/>
      <c r="H165" s="5"/>
      <c r="I165" s="5"/>
      <c r="J165" s="5"/>
      <c r="K165" s="5"/>
      <c r="L165" s="31"/>
      <c r="M165" s="5"/>
      <c r="N165" s="5"/>
    </row>
    <row r="166">
      <c r="A166" s="5"/>
      <c r="B166" s="5"/>
      <c r="C166" s="5"/>
      <c r="D166" s="5"/>
      <c r="E166" s="3"/>
      <c r="F166" s="5"/>
      <c r="G166" s="31"/>
      <c r="H166" s="5"/>
      <c r="I166" s="5"/>
      <c r="J166" s="5"/>
      <c r="K166" s="5"/>
      <c r="L166" s="31"/>
      <c r="M166" s="5"/>
      <c r="N166" s="5"/>
    </row>
    <row r="167">
      <c r="A167" s="5"/>
      <c r="B167" s="5"/>
      <c r="C167" s="5"/>
      <c r="D167" s="5"/>
      <c r="E167" s="3"/>
      <c r="F167" s="5"/>
      <c r="G167" s="31"/>
      <c r="H167" s="5"/>
      <c r="I167" s="5"/>
      <c r="J167" s="5"/>
      <c r="K167" s="5"/>
      <c r="L167" s="31"/>
      <c r="M167" s="5"/>
      <c r="N167" s="5"/>
    </row>
    <row r="168">
      <c r="A168" s="5"/>
      <c r="B168" s="5"/>
      <c r="C168" s="5"/>
      <c r="D168" s="5"/>
      <c r="E168" s="3"/>
      <c r="F168" s="5"/>
      <c r="G168" s="31"/>
      <c r="H168" s="5"/>
      <c r="I168" s="5"/>
      <c r="J168" s="5"/>
      <c r="K168" s="5"/>
      <c r="L168" s="31"/>
      <c r="M168" s="5"/>
      <c r="N168" s="5"/>
    </row>
    <row r="169">
      <c r="A169" s="5"/>
      <c r="B169" s="5"/>
      <c r="C169" s="5"/>
      <c r="D169" s="5"/>
      <c r="E169" s="3"/>
      <c r="F169" s="5"/>
      <c r="G169" s="31"/>
      <c r="H169" s="5"/>
      <c r="I169" s="5"/>
      <c r="J169" s="5"/>
      <c r="K169" s="5"/>
      <c r="L169" s="31"/>
      <c r="M169" s="5"/>
      <c r="N169" s="5"/>
    </row>
    <row r="170">
      <c r="A170" s="5"/>
      <c r="B170" s="5"/>
      <c r="C170" s="5"/>
      <c r="D170" s="5"/>
      <c r="E170" s="3"/>
      <c r="F170" s="5"/>
      <c r="G170" s="31"/>
      <c r="H170" s="5"/>
      <c r="I170" s="5"/>
      <c r="J170" s="5"/>
      <c r="K170" s="5"/>
      <c r="L170" s="31"/>
      <c r="M170" s="5"/>
      <c r="N170" s="5"/>
    </row>
    <row r="171">
      <c r="A171" s="5"/>
      <c r="B171" s="5"/>
      <c r="C171" s="5"/>
      <c r="D171" s="5"/>
      <c r="E171" s="3"/>
      <c r="F171" s="5"/>
      <c r="G171" s="31"/>
      <c r="H171" s="5"/>
      <c r="I171" s="5"/>
      <c r="J171" s="5"/>
      <c r="K171" s="5"/>
      <c r="L171" s="31"/>
      <c r="M171" s="5"/>
      <c r="N171" s="5"/>
    </row>
    <row r="172">
      <c r="A172" s="5"/>
      <c r="B172" s="5"/>
      <c r="C172" s="5"/>
      <c r="D172" s="5"/>
      <c r="E172" s="3"/>
      <c r="F172" s="5"/>
      <c r="G172" s="31"/>
      <c r="H172" s="5"/>
      <c r="I172" s="5"/>
      <c r="J172" s="5"/>
      <c r="K172" s="5"/>
      <c r="L172" s="31"/>
      <c r="M172" s="5"/>
      <c r="N172" s="5"/>
    </row>
    <row r="173">
      <c r="A173" s="5"/>
      <c r="B173" s="5"/>
      <c r="C173" s="5"/>
      <c r="D173" s="5"/>
      <c r="E173" s="3"/>
      <c r="F173" s="5"/>
      <c r="G173" s="31"/>
      <c r="H173" s="5"/>
      <c r="I173" s="5"/>
      <c r="J173" s="5"/>
      <c r="K173" s="5"/>
      <c r="L173" s="31"/>
      <c r="M173" s="5"/>
      <c r="N173" s="5"/>
    </row>
    <row r="174">
      <c r="A174" s="5"/>
      <c r="B174" s="5"/>
      <c r="C174" s="5"/>
      <c r="D174" s="5"/>
      <c r="E174" s="3"/>
      <c r="F174" s="5"/>
      <c r="G174" s="31"/>
      <c r="H174" s="5"/>
      <c r="I174" s="5"/>
      <c r="J174" s="5"/>
      <c r="K174" s="5"/>
      <c r="L174" s="31"/>
      <c r="M174" s="5"/>
      <c r="N174" s="5"/>
    </row>
    <row r="175">
      <c r="A175" s="5"/>
      <c r="B175" s="5"/>
      <c r="C175" s="5"/>
      <c r="D175" s="5"/>
      <c r="E175" s="3"/>
      <c r="F175" s="5"/>
      <c r="G175" s="31"/>
      <c r="H175" s="5"/>
      <c r="I175" s="5"/>
      <c r="J175" s="5"/>
      <c r="K175" s="5"/>
      <c r="L175" s="31"/>
      <c r="M175" s="5"/>
      <c r="N175" s="5"/>
    </row>
    <row r="176">
      <c r="A176" s="5"/>
      <c r="B176" s="5"/>
      <c r="C176" s="5"/>
      <c r="D176" s="5"/>
      <c r="E176" s="3"/>
      <c r="F176" s="5"/>
      <c r="G176" s="31"/>
      <c r="H176" s="5"/>
      <c r="I176" s="5"/>
      <c r="J176" s="5"/>
      <c r="K176" s="5"/>
      <c r="L176" s="31"/>
      <c r="M176" s="5"/>
      <c r="N176" s="5"/>
    </row>
    <row r="177">
      <c r="A177" s="5"/>
      <c r="B177" s="5"/>
      <c r="C177" s="5"/>
      <c r="D177" s="5"/>
      <c r="E177" s="3"/>
      <c r="F177" s="5"/>
      <c r="G177" s="31"/>
      <c r="H177" s="5"/>
      <c r="I177" s="5"/>
      <c r="J177" s="5"/>
      <c r="K177" s="5"/>
      <c r="L177" s="31"/>
      <c r="M177" s="5"/>
      <c r="N177" s="5"/>
    </row>
    <row r="178">
      <c r="A178" s="5"/>
      <c r="B178" s="5"/>
      <c r="C178" s="5"/>
      <c r="D178" s="5"/>
      <c r="E178" s="3"/>
      <c r="F178" s="5"/>
      <c r="G178" s="31"/>
      <c r="H178" s="5"/>
      <c r="I178" s="5"/>
      <c r="J178" s="5"/>
      <c r="K178" s="5"/>
      <c r="L178" s="31"/>
      <c r="M178" s="5"/>
      <c r="N178" s="5"/>
    </row>
    <row r="179">
      <c r="A179" s="5"/>
      <c r="B179" s="5"/>
      <c r="C179" s="5"/>
      <c r="D179" s="5"/>
      <c r="E179" s="3"/>
      <c r="F179" s="5"/>
      <c r="G179" s="31"/>
      <c r="H179" s="5"/>
      <c r="I179" s="5"/>
      <c r="J179" s="5"/>
      <c r="K179" s="5"/>
      <c r="L179" s="31"/>
      <c r="M179" s="5"/>
      <c r="N179" s="5"/>
    </row>
    <row r="180">
      <c r="A180" s="5"/>
      <c r="B180" s="5"/>
      <c r="C180" s="5"/>
      <c r="D180" s="5"/>
      <c r="E180" s="3"/>
      <c r="F180" s="5"/>
      <c r="G180" s="31"/>
      <c r="H180" s="5"/>
      <c r="I180" s="5"/>
      <c r="J180" s="5"/>
      <c r="K180" s="5"/>
      <c r="L180" s="31"/>
      <c r="M180" s="5"/>
      <c r="N180" s="5"/>
    </row>
    <row r="181">
      <c r="A181" s="5"/>
      <c r="B181" s="5"/>
      <c r="C181" s="5"/>
      <c r="D181" s="5"/>
      <c r="E181" s="3"/>
      <c r="F181" s="5"/>
      <c r="G181" s="31"/>
      <c r="H181" s="5"/>
      <c r="I181" s="5"/>
      <c r="J181" s="5"/>
      <c r="K181" s="5"/>
      <c r="L181" s="31"/>
      <c r="M181" s="5"/>
      <c r="N181" s="5"/>
    </row>
    <row r="182">
      <c r="A182" s="5"/>
      <c r="B182" s="5"/>
      <c r="C182" s="5"/>
      <c r="D182" s="5"/>
      <c r="E182" s="3"/>
      <c r="F182" s="5"/>
      <c r="G182" s="31"/>
      <c r="H182" s="5"/>
      <c r="I182" s="5"/>
      <c r="J182" s="5"/>
      <c r="K182" s="5"/>
      <c r="L182" s="31"/>
      <c r="M182" s="5"/>
      <c r="N182" s="5"/>
    </row>
    <row r="183">
      <c r="A183" s="5"/>
      <c r="B183" s="5"/>
      <c r="C183" s="5"/>
      <c r="D183" s="5"/>
      <c r="E183" s="3"/>
      <c r="F183" s="5"/>
      <c r="G183" s="31"/>
      <c r="H183" s="5"/>
      <c r="I183" s="5"/>
      <c r="J183" s="5"/>
      <c r="K183" s="5"/>
      <c r="L183" s="31"/>
      <c r="M183" s="5"/>
      <c r="N183" s="5"/>
    </row>
    <row r="184">
      <c r="A184" s="5"/>
      <c r="B184" s="5"/>
      <c r="C184" s="5"/>
      <c r="D184" s="5"/>
      <c r="E184" s="3"/>
      <c r="F184" s="5"/>
      <c r="G184" s="31"/>
      <c r="H184" s="5"/>
      <c r="I184" s="5"/>
      <c r="J184" s="5"/>
      <c r="K184" s="5"/>
      <c r="L184" s="31"/>
      <c r="M184" s="5"/>
      <c r="N184" s="5"/>
    </row>
    <row r="185">
      <c r="A185" s="5"/>
      <c r="B185" s="5"/>
      <c r="C185" s="5"/>
      <c r="D185" s="5"/>
      <c r="E185" s="3"/>
      <c r="F185" s="5"/>
      <c r="G185" s="31"/>
      <c r="H185" s="5"/>
      <c r="I185" s="5"/>
      <c r="J185" s="5"/>
      <c r="K185" s="5"/>
      <c r="L185" s="31"/>
      <c r="M185" s="5"/>
      <c r="N185" s="5"/>
    </row>
    <row r="186">
      <c r="A186" s="5"/>
      <c r="B186" s="5"/>
      <c r="C186" s="5"/>
      <c r="D186" s="5"/>
      <c r="E186" s="3"/>
      <c r="F186" s="5"/>
      <c r="G186" s="31"/>
      <c r="H186" s="5"/>
      <c r="I186" s="5"/>
      <c r="J186" s="5"/>
      <c r="K186" s="5"/>
      <c r="L186" s="31"/>
      <c r="M186" s="5"/>
      <c r="N186" s="5"/>
    </row>
    <row r="187">
      <c r="A187" s="5"/>
      <c r="B187" s="5"/>
      <c r="C187" s="5"/>
      <c r="D187" s="5"/>
      <c r="E187" s="3"/>
      <c r="F187" s="5"/>
      <c r="G187" s="31"/>
      <c r="H187" s="5"/>
      <c r="I187" s="5"/>
      <c r="J187" s="5"/>
      <c r="K187" s="5"/>
      <c r="L187" s="31"/>
      <c r="M187" s="5"/>
      <c r="N187" s="5"/>
    </row>
    <row r="188">
      <c r="A188" s="5"/>
      <c r="B188" s="5"/>
      <c r="C188" s="5"/>
      <c r="D188" s="5"/>
      <c r="E188" s="3"/>
      <c r="F188" s="5"/>
      <c r="G188" s="31"/>
      <c r="H188" s="5"/>
      <c r="I188" s="5"/>
      <c r="J188" s="5"/>
      <c r="K188" s="5"/>
      <c r="L188" s="31"/>
      <c r="M188" s="5"/>
      <c r="N188" s="5"/>
    </row>
    <row r="189">
      <c r="A189" s="5"/>
      <c r="B189" s="5"/>
      <c r="C189" s="5"/>
      <c r="D189" s="5"/>
      <c r="E189" s="3"/>
      <c r="F189" s="5"/>
      <c r="G189" s="31"/>
      <c r="H189" s="5"/>
      <c r="I189" s="5"/>
      <c r="J189" s="5"/>
      <c r="K189" s="5"/>
      <c r="L189" s="31"/>
      <c r="M189" s="5"/>
      <c r="N189" s="5"/>
    </row>
    <row r="190">
      <c r="A190" s="5"/>
      <c r="B190" s="5"/>
      <c r="C190" s="5"/>
      <c r="D190" s="5"/>
      <c r="E190" s="3"/>
      <c r="F190" s="5"/>
      <c r="G190" s="31"/>
      <c r="H190" s="5"/>
      <c r="I190" s="5"/>
      <c r="J190" s="5"/>
      <c r="K190" s="5"/>
      <c r="L190" s="31"/>
      <c r="M190" s="5"/>
      <c r="N190" s="5"/>
    </row>
    <row r="191">
      <c r="A191" s="5"/>
      <c r="B191" s="5"/>
      <c r="C191" s="5"/>
      <c r="D191" s="5"/>
      <c r="E191" s="3"/>
      <c r="F191" s="5"/>
      <c r="G191" s="31"/>
      <c r="H191" s="5"/>
      <c r="I191" s="5"/>
      <c r="J191" s="5"/>
      <c r="K191" s="5"/>
      <c r="L191" s="31"/>
      <c r="M191" s="5"/>
      <c r="N191" s="5"/>
    </row>
    <row r="192">
      <c r="A192" s="5"/>
      <c r="B192" s="5"/>
      <c r="C192" s="5"/>
      <c r="D192" s="5"/>
      <c r="E192" s="3"/>
      <c r="F192" s="5"/>
      <c r="G192" s="31"/>
      <c r="H192" s="5"/>
      <c r="I192" s="5"/>
      <c r="J192" s="5"/>
      <c r="K192" s="5"/>
      <c r="L192" s="31"/>
      <c r="M192" s="5"/>
      <c r="N192" s="5"/>
    </row>
    <row r="193">
      <c r="A193" s="5"/>
      <c r="B193" s="5"/>
      <c r="C193" s="5"/>
      <c r="D193" s="5"/>
      <c r="E193" s="3"/>
      <c r="F193" s="5"/>
      <c r="G193" s="31"/>
      <c r="H193" s="5"/>
      <c r="I193" s="5"/>
      <c r="J193" s="5"/>
      <c r="K193" s="5"/>
      <c r="L193" s="31"/>
      <c r="M193" s="5"/>
      <c r="N193" s="5"/>
    </row>
    <row r="194">
      <c r="A194" s="5"/>
      <c r="B194" s="5"/>
      <c r="C194" s="5"/>
      <c r="D194" s="5"/>
      <c r="E194" s="3"/>
      <c r="F194" s="5"/>
      <c r="G194" s="31"/>
      <c r="H194" s="5"/>
      <c r="I194" s="5"/>
      <c r="J194" s="5"/>
      <c r="K194" s="5"/>
      <c r="L194" s="31"/>
      <c r="M194" s="5"/>
      <c r="N194" s="5"/>
    </row>
    <row r="195">
      <c r="A195" s="5"/>
      <c r="B195" s="5"/>
      <c r="C195" s="5"/>
      <c r="D195" s="5"/>
      <c r="E195" s="3"/>
      <c r="F195" s="5"/>
      <c r="G195" s="31"/>
      <c r="H195" s="5"/>
      <c r="I195" s="5"/>
      <c r="J195" s="5"/>
      <c r="K195" s="5"/>
      <c r="L195" s="31"/>
      <c r="M195" s="5"/>
      <c r="N195" s="5"/>
    </row>
    <row r="196">
      <c r="A196" s="5"/>
      <c r="B196" s="5"/>
      <c r="C196" s="5"/>
      <c r="D196" s="5"/>
      <c r="E196" s="3"/>
      <c r="F196" s="5"/>
      <c r="G196" s="31"/>
      <c r="H196" s="5"/>
      <c r="I196" s="5"/>
      <c r="J196" s="5"/>
      <c r="K196" s="5"/>
      <c r="L196" s="31"/>
      <c r="M196" s="5"/>
      <c r="N196" s="5"/>
    </row>
    <row r="197">
      <c r="A197" s="5"/>
      <c r="B197" s="5"/>
      <c r="C197" s="5"/>
      <c r="D197" s="5"/>
      <c r="E197" s="3"/>
      <c r="F197" s="5"/>
      <c r="G197" s="31"/>
      <c r="H197" s="5"/>
      <c r="I197" s="5"/>
      <c r="J197" s="5"/>
      <c r="K197" s="5"/>
      <c r="L197" s="31"/>
      <c r="M197" s="5"/>
      <c r="N197" s="5"/>
    </row>
    <row r="198">
      <c r="A198" s="5"/>
      <c r="B198" s="5"/>
      <c r="C198" s="5"/>
      <c r="D198" s="5"/>
      <c r="E198" s="3"/>
      <c r="F198" s="5"/>
      <c r="G198" s="31"/>
      <c r="H198" s="5"/>
      <c r="I198" s="5"/>
      <c r="J198" s="5"/>
      <c r="K198" s="5"/>
      <c r="L198" s="31"/>
      <c r="M198" s="5"/>
      <c r="N198" s="5"/>
    </row>
    <row r="199">
      <c r="A199" s="5"/>
      <c r="B199" s="5"/>
      <c r="C199" s="5"/>
      <c r="D199" s="5"/>
      <c r="E199" s="3"/>
      <c r="F199" s="5"/>
      <c r="G199" s="31"/>
      <c r="H199" s="5"/>
      <c r="I199" s="5"/>
      <c r="J199" s="5"/>
      <c r="K199" s="5"/>
      <c r="L199" s="31"/>
      <c r="M199" s="5"/>
      <c r="N199" s="5"/>
    </row>
    <row r="200">
      <c r="A200" s="5"/>
      <c r="B200" s="5"/>
      <c r="C200" s="5"/>
      <c r="D200" s="5"/>
      <c r="E200" s="3"/>
      <c r="F200" s="5"/>
      <c r="G200" s="31"/>
      <c r="H200" s="5"/>
      <c r="I200" s="5"/>
      <c r="J200" s="5"/>
      <c r="K200" s="5"/>
      <c r="L200" s="31"/>
      <c r="M200" s="5"/>
      <c r="N200" s="5"/>
    </row>
    <row r="201">
      <c r="A201" s="5"/>
      <c r="B201" s="5"/>
      <c r="C201" s="5"/>
      <c r="D201" s="5"/>
      <c r="E201" s="3"/>
      <c r="F201" s="5"/>
      <c r="G201" s="31"/>
      <c r="H201" s="5"/>
      <c r="I201" s="5"/>
      <c r="J201" s="5"/>
      <c r="K201" s="5"/>
      <c r="L201" s="31"/>
      <c r="M201" s="5"/>
      <c r="N201" s="5"/>
    </row>
    <row r="202">
      <c r="A202" s="5"/>
      <c r="B202" s="5"/>
      <c r="C202" s="5"/>
      <c r="D202" s="5"/>
      <c r="E202" s="3"/>
      <c r="F202" s="5"/>
      <c r="G202" s="31"/>
      <c r="H202" s="5"/>
      <c r="I202" s="5"/>
      <c r="J202" s="5"/>
      <c r="K202" s="5"/>
      <c r="L202" s="31"/>
      <c r="M202" s="5"/>
      <c r="N202" s="5"/>
    </row>
    <row r="203">
      <c r="A203" s="5"/>
      <c r="B203" s="5"/>
      <c r="C203" s="5"/>
      <c r="D203" s="5"/>
      <c r="E203" s="3"/>
      <c r="F203" s="5"/>
      <c r="G203" s="31"/>
      <c r="H203" s="5"/>
      <c r="I203" s="5"/>
      <c r="J203" s="5"/>
      <c r="K203" s="5"/>
      <c r="L203" s="31"/>
      <c r="M203" s="5"/>
      <c r="N203" s="5"/>
    </row>
    <row r="204">
      <c r="A204" s="5"/>
      <c r="B204" s="5"/>
      <c r="C204" s="5"/>
      <c r="D204" s="5"/>
      <c r="E204" s="3"/>
      <c r="F204" s="5"/>
      <c r="G204" s="31"/>
      <c r="H204" s="5"/>
      <c r="I204" s="5"/>
      <c r="J204" s="5"/>
      <c r="K204" s="5"/>
      <c r="L204" s="31"/>
      <c r="M204" s="5"/>
      <c r="N204" s="5"/>
    </row>
    <row r="205">
      <c r="A205" s="5"/>
      <c r="B205" s="5"/>
      <c r="C205" s="5"/>
      <c r="D205" s="5"/>
      <c r="E205" s="3"/>
      <c r="F205" s="5"/>
      <c r="G205" s="31"/>
      <c r="H205" s="5"/>
      <c r="I205" s="5"/>
      <c r="J205" s="5"/>
      <c r="K205" s="5"/>
      <c r="L205" s="31"/>
      <c r="M205" s="5"/>
      <c r="N205" s="5"/>
    </row>
    <row r="206">
      <c r="A206" s="5"/>
      <c r="B206" s="5"/>
      <c r="C206" s="5"/>
      <c r="D206" s="5"/>
      <c r="E206" s="3"/>
      <c r="F206" s="5"/>
      <c r="G206" s="31"/>
      <c r="H206" s="5"/>
      <c r="I206" s="5"/>
      <c r="J206" s="5"/>
      <c r="K206" s="5"/>
      <c r="L206" s="31"/>
      <c r="M206" s="5"/>
      <c r="N206" s="5"/>
    </row>
    <row r="207">
      <c r="A207" s="5"/>
      <c r="B207" s="5"/>
      <c r="C207" s="5"/>
      <c r="D207" s="5"/>
      <c r="E207" s="3"/>
      <c r="F207" s="5"/>
      <c r="G207" s="31"/>
      <c r="H207" s="5"/>
      <c r="I207" s="5"/>
      <c r="J207" s="5"/>
      <c r="K207" s="5"/>
      <c r="L207" s="31"/>
      <c r="M207" s="5"/>
      <c r="N207" s="5"/>
    </row>
    <row r="208">
      <c r="A208" s="5"/>
      <c r="B208" s="5"/>
      <c r="C208" s="5"/>
      <c r="D208" s="5"/>
      <c r="E208" s="3"/>
      <c r="F208" s="5"/>
      <c r="G208" s="31"/>
      <c r="H208" s="5"/>
      <c r="I208" s="5"/>
      <c r="J208" s="5"/>
      <c r="K208" s="5"/>
      <c r="L208" s="31"/>
      <c r="M208" s="5"/>
      <c r="N208" s="5"/>
    </row>
    <row r="209">
      <c r="A209" s="5"/>
      <c r="B209" s="5"/>
      <c r="C209" s="5"/>
      <c r="D209" s="5"/>
      <c r="E209" s="3"/>
      <c r="F209" s="5"/>
      <c r="G209" s="31"/>
      <c r="H209" s="5"/>
      <c r="I209" s="5"/>
      <c r="J209" s="5"/>
      <c r="K209" s="5"/>
      <c r="L209" s="31"/>
      <c r="M209" s="5"/>
      <c r="N209" s="5"/>
    </row>
    <row r="210">
      <c r="A210" s="5"/>
      <c r="B210" s="5"/>
      <c r="C210" s="5"/>
      <c r="D210" s="5"/>
      <c r="E210" s="3"/>
      <c r="F210" s="5"/>
      <c r="G210" s="31"/>
      <c r="H210" s="5"/>
      <c r="I210" s="5"/>
      <c r="J210" s="5"/>
      <c r="K210" s="5"/>
      <c r="L210" s="31"/>
      <c r="M210" s="5"/>
      <c r="N210" s="5"/>
    </row>
    <row r="211">
      <c r="A211" s="5"/>
      <c r="B211" s="5"/>
      <c r="C211" s="5"/>
      <c r="D211" s="5"/>
      <c r="E211" s="3"/>
      <c r="F211" s="5"/>
      <c r="G211" s="31"/>
      <c r="H211" s="5"/>
      <c r="I211" s="5"/>
      <c r="J211" s="5"/>
      <c r="K211" s="5"/>
      <c r="L211" s="31"/>
      <c r="M211" s="5"/>
      <c r="N211" s="5"/>
    </row>
    <row r="212">
      <c r="A212" s="5"/>
      <c r="B212" s="5"/>
      <c r="C212" s="5"/>
      <c r="D212" s="5"/>
      <c r="E212" s="3"/>
      <c r="F212" s="5"/>
      <c r="G212" s="31"/>
      <c r="H212" s="5"/>
      <c r="I212" s="5"/>
      <c r="J212" s="5"/>
      <c r="K212" s="5"/>
      <c r="L212" s="31"/>
      <c r="M212" s="5"/>
      <c r="N212" s="5"/>
    </row>
    <row r="213">
      <c r="A213" s="5"/>
      <c r="B213" s="5"/>
      <c r="C213" s="5"/>
      <c r="D213" s="5"/>
      <c r="E213" s="3"/>
      <c r="F213" s="5"/>
      <c r="G213" s="31"/>
      <c r="H213" s="5"/>
      <c r="I213" s="5"/>
      <c r="J213" s="5"/>
      <c r="K213" s="5"/>
      <c r="L213" s="31"/>
      <c r="M213" s="5"/>
      <c r="N213" s="5"/>
    </row>
    <row r="214">
      <c r="A214" s="5"/>
      <c r="B214" s="5"/>
      <c r="C214" s="5"/>
      <c r="D214" s="5"/>
      <c r="E214" s="3"/>
      <c r="F214" s="5"/>
      <c r="G214" s="31"/>
      <c r="H214" s="5"/>
      <c r="I214" s="5"/>
      <c r="J214" s="5"/>
      <c r="K214" s="5"/>
      <c r="L214" s="31"/>
      <c r="M214" s="5"/>
      <c r="N214" s="5"/>
    </row>
    <row r="215">
      <c r="A215" s="5"/>
      <c r="B215" s="5"/>
      <c r="C215" s="5"/>
      <c r="D215" s="5"/>
      <c r="E215" s="3"/>
      <c r="F215" s="5"/>
      <c r="G215" s="31"/>
      <c r="H215" s="5"/>
      <c r="I215" s="5"/>
      <c r="J215" s="5"/>
      <c r="K215" s="5"/>
      <c r="L215" s="31"/>
      <c r="M215" s="5"/>
      <c r="N215" s="5"/>
    </row>
    <row r="216">
      <c r="A216" s="5"/>
      <c r="B216" s="5"/>
      <c r="C216" s="5"/>
      <c r="D216" s="5"/>
      <c r="E216" s="3"/>
      <c r="F216" s="5"/>
      <c r="G216" s="31"/>
      <c r="H216" s="5"/>
      <c r="I216" s="5"/>
      <c r="J216" s="5"/>
      <c r="K216" s="5"/>
      <c r="L216" s="31"/>
      <c r="M216" s="5"/>
      <c r="N216" s="5"/>
    </row>
    <row r="217">
      <c r="A217" s="5"/>
      <c r="B217" s="5"/>
      <c r="C217" s="5"/>
      <c r="D217" s="5"/>
      <c r="E217" s="3"/>
      <c r="F217" s="5"/>
      <c r="G217" s="31"/>
      <c r="H217" s="5"/>
      <c r="I217" s="5"/>
      <c r="J217" s="5"/>
      <c r="K217" s="5"/>
      <c r="L217" s="31"/>
      <c r="M217" s="5"/>
      <c r="N217" s="5"/>
    </row>
    <row r="218">
      <c r="A218" s="5"/>
      <c r="B218" s="5"/>
      <c r="C218" s="5"/>
      <c r="D218" s="5"/>
      <c r="E218" s="3"/>
      <c r="F218" s="5"/>
      <c r="G218" s="31"/>
      <c r="H218" s="5"/>
      <c r="I218" s="5"/>
      <c r="J218" s="5"/>
      <c r="K218" s="5"/>
      <c r="L218" s="31"/>
      <c r="M218" s="5"/>
      <c r="N218" s="5"/>
    </row>
    <row r="219">
      <c r="A219" s="5"/>
      <c r="B219" s="5"/>
      <c r="C219" s="5"/>
      <c r="D219" s="5"/>
      <c r="E219" s="3"/>
      <c r="F219" s="5"/>
      <c r="G219" s="31"/>
      <c r="H219" s="5"/>
      <c r="I219" s="5"/>
      <c r="J219" s="5"/>
      <c r="K219" s="5"/>
      <c r="L219" s="31"/>
      <c r="M219" s="5"/>
      <c r="N219" s="5"/>
    </row>
    <row r="220">
      <c r="A220" s="5"/>
      <c r="B220" s="5"/>
      <c r="C220" s="5"/>
      <c r="D220" s="5"/>
      <c r="E220" s="3"/>
      <c r="F220" s="5"/>
      <c r="G220" s="31"/>
      <c r="H220" s="5"/>
      <c r="I220" s="5"/>
      <c r="J220" s="5"/>
      <c r="K220" s="5"/>
      <c r="L220" s="31"/>
      <c r="M220" s="5"/>
      <c r="N220" s="5"/>
    </row>
    <row r="221">
      <c r="A221" s="5"/>
      <c r="B221" s="5"/>
      <c r="C221" s="5"/>
      <c r="D221" s="5"/>
      <c r="E221" s="3"/>
      <c r="F221" s="5"/>
      <c r="G221" s="31"/>
      <c r="H221" s="5"/>
      <c r="I221" s="5"/>
      <c r="J221" s="5"/>
      <c r="K221" s="5"/>
      <c r="L221" s="31"/>
      <c r="M221" s="5"/>
      <c r="N221" s="5"/>
    </row>
    <row r="222">
      <c r="A222" s="5"/>
      <c r="B222" s="5"/>
      <c r="C222" s="5"/>
      <c r="D222" s="5"/>
      <c r="E222" s="3"/>
      <c r="F222" s="5"/>
      <c r="G222" s="31"/>
      <c r="H222" s="5"/>
      <c r="I222" s="5"/>
      <c r="J222" s="5"/>
      <c r="K222" s="5"/>
      <c r="L222" s="31"/>
      <c r="M222" s="5"/>
      <c r="N222" s="5"/>
    </row>
    <row r="223">
      <c r="A223" s="5"/>
      <c r="B223" s="5"/>
      <c r="C223" s="5"/>
      <c r="D223" s="5"/>
      <c r="E223" s="3"/>
      <c r="F223" s="5"/>
      <c r="G223" s="31"/>
      <c r="H223" s="5"/>
      <c r="I223" s="5"/>
      <c r="J223" s="5"/>
      <c r="K223" s="5"/>
      <c r="L223" s="31"/>
      <c r="M223" s="5"/>
      <c r="N223" s="5"/>
    </row>
    <row r="224">
      <c r="A224" s="5"/>
      <c r="B224" s="5"/>
      <c r="C224" s="5"/>
      <c r="D224" s="5"/>
      <c r="E224" s="3"/>
      <c r="F224" s="5"/>
      <c r="G224" s="31"/>
      <c r="H224" s="5"/>
      <c r="I224" s="5"/>
      <c r="J224" s="5"/>
      <c r="K224" s="5"/>
      <c r="L224" s="31"/>
      <c r="M224" s="5"/>
      <c r="N224" s="5"/>
    </row>
    <row r="225">
      <c r="A225" s="5"/>
      <c r="B225" s="5"/>
      <c r="C225" s="5"/>
      <c r="D225" s="5"/>
      <c r="E225" s="3"/>
      <c r="F225" s="5"/>
      <c r="G225" s="31"/>
      <c r="H225" s="5"/>
      <c r="I225" s="5"/>
      <c r="J225" s="5"/>
      <c r="K225" s="5"/>
      <c r="L225" s="31"/>
      <c r="M225" s="5"/>
      <c r="N225" s="5"/>
    </row>
    <row r="226">
      <c r="A226" s="5"/>
      <c r="B226" s="5"/>
      <c r="C226" s="5"/>
      <c r="D226" s="5"/>
      <c r="E226" s="3"/>
      <c r="F226" s="5"/>
      <c r="G226" s="31"/>
      <c r="H226" s="5"/>
      <c r="I226" s="5"/>
      <c r="J226" s="5"/>
      <c r="K226" s="5"/>
      <c r="L226" s="31"/>
      <c r="M226" s="5"/>
      <c r="N226" s="5"/>
    </row>
    <row r="227">
      <c r="A227" s="5"/>
      <c r="B227" s="5"/>
      <c r="C227" s="5"/>
      <c r="D227" s="5"/>
      <c r="E227" s="3"/>
      <c r="F227" s="5"/>
      <c r="G227" s="31"/>
      <c r="H227" s="5"/>
      <c r="I227" s="5"/>
      <c r="J227" s="5"/>
      <c r="K227" s="5"/>
      <c r="L227" s="31"/>
      <c r="M227" s="5"/>
      <c r="N227" s="5"/>
    </row>
    <row r="228">
      <c r="A228" s="5"/>
      <c r="B228" s="5"/>
      <c r="C228" s="5"/>
      <c r="D228" s="5"/>
      <c r="E228" s="3"/>
      <c r="F228" s="5"/>
      <c r="G228" s="31"/>
      <c r="H228" s="5"/>
      <c r="I228" s="5"/>
      <c r="J228" s="5"/>
      <c r="K228" s="5"/>
      <c r="L228" s="31"/>
      <c r="M228" s="5"/>
      <c r="N228" s="5"/>
    </row>
    <row r="229">
      <c r="A229" s="5"/>
      <c r="B229" s="5"/>
      <c r="C229" s="5"/>
      <c r="D229" s="5"/>
      <c r="E229" s="3"/>
      <c r="F229" s="5"/>
      <c r="G229" s="31"/>
      <c r="H229" s="5"/>
      <c r="I229" s="5"/>
      <c r="J229" s="5"/>
      <c r="K229" s="5"/>
      <c r="L229" s="31"/>
      <c r="M229" s="5"/>
      <c r="N229" s="5"/>
    </row>
    <row r="230">
      <c r="A230" s="5"/>
      <c r="B230" s="5"/>
      <c r="C230" s="5"/>
      <c r="D230" s="5"/>
      <c r="E230" s="3"/>
      <c r="F230" s="5"/>
      <c r="G230" s="31"/>
      <c r="H230" s="5"/>
      <c r="I230" s="5"/>
      <c r="J230" s="5"/>
      <c r="K230" s="5"/>
      <c r="L230" s="31"/>
      <c r="M230" s="5"/>
      <c r="N230" s="5"/>
    </row>
    <row r="231">
      <c r="A231" s="5"/>
      <c r="B231" s="5"/>
      <c r="C231" s="5"/>
      <c r="D231" s="5"/>
      <c r="E231" s="3"/>
      <c r="F231" s="5"/>
      <c r="G231" s="31"/>
      <c r="H231" s="5"/>
      <c r="I231" s="5"/>
      <c r="J231" s="5"/>
      <c r="K231" s="5"/>
      <c r="L231" s="31"/>
      <c r="M231" s="5"/>
      <c r="N231" s="5"/>
    </row>
    <row r="232">
      <c r="A232" s="5"/>
      <c r="B232" s="5"/>
      <c r="C232" s="5"/>
      <c r="D232" s="5"/>
      <c r="E232" s="3"/>
      <c r="F232" s="5"/>
      <c r="G232" s="31"/>
      <c r="H232" s="5"/>
      <c r="I232" s="5"/>
      <c r="J232" s="5"/>
      <c r="K232" s="5"/>
      <c r="L232" s="31"/>
      <c r="M232" s="5"/>
      <c r="N232" s="5"/>
    </row>
    <row r="233">
      <c r="A233" s="5"/>
      <c r="B233" s="5"/>
      <c r="C233" s="5"/>
      <c r="D233" s="5"/>
      <c r="E233" s="3"/>
      <c r="F233" s="5"/>
      <c r="G233" s="31"/>
      <c r="H233" s="5"/>
      <c r="I233" s="5"/>
      <c r="J233" s="5"/>
      <c r="K233" s="5"/>
      <c r="L233" s="31"/>
      <c r="M233" s="5"/>
      <c r="N233" s="5"/>
    </row>
    <row r="234">
      <c r="A234" s="5"/>
      <c r="B234" s="5"/>
      <c r="C234" s="5"/>
      <c r="D234" s="5"/>
      <c r="E234" s="3"/>
      <c r="F234" s="5"/>
      <c r="G234" s="31"/>
      <c r="H234" s="5"/>
      <c r="I234" s="5"/>
      <c r="J234" s="5"/>
      <c r="K234" s="5"/>
      <c r="L234" s="31"/>
      <c r="M234" s="5"/>
      <c r="N234" s="5"/>
    </row>
    <row r="235">
      <c r="A235" s="5"/>
      <c r="B235" s="5"/>
      <c r="C235" s="5"/>
      <c r="D235" s="5"/>
      <c r="E235" s="3"/>
      <c r="F235" s="5"/>
      <c r="G235" s="31"/>
      <c r="H235" s="5"/>
      <c r="I235" s="5"/>
      <c r="J235" s="5"/>
      <c r="K235" s="5"/>
      <c r="L235" s="31"/>
      <c r="M235" s="5"/>
      <c r="N235" s="5"/>
    </row>
    <row r="236">
      <c r="A236" s="5"/>
      <c r="B236" s="5"/>
      <c r="C236" s="5"/>
      <c r="D236" s="5"/>
      <c r="E236" s="3"/>
      <c r="F236" s="5"/>
      <c r="G236" s="31"/>
      <c r="H236" s="5"/>
      <c r="I236" s="5"/>
      <c r="J236" s="5"/>
      <c r="K236" s="5"/>
      <c r="L236" s="31"/>
      <c r="M236" s="5"/>
      <c r="N236" s="5"/>
    </row>
    <row r="237">
      <c r="A237" s="5"/>
      <c r="B237" s="5"/>
      <c r="C237" s="5"/>
      <c r="D237" s="5"/>
      <c r="E237" s="3"/>
      <c r="F237" s="5"/>
      <c r="G237" s="31"/>
      <c r="H237" s="5"/>
      <c r="I237" s="5"/>
      <c r="J237" s="5"/>
      <c r="K237" s="5"/>
      <c r="L237" s="31"/>
      <c r="M237" s="5"/>
      <c r="N237" s="5"/>
    </row>
    <row r="238">
      <c r="A238" s="5"/>
      <c r="B238" s="5"/>
      <c r="C238" s="5"/>
      <c r="D238" s="5"/>
      <c r="E238" s="3"/>
      <c r="F238" s="5"/>
      <c r="G238" s="31"/>
      <c r="H238" s="5"/>
      <c r="I238" s="5"/>
      <c r="J238" s="5"/>
      <c r="K238" s="5"/>
      <c r="L238" s="31"/>
      <c r="M238" s="5"/>
      <c r="N238" s="5"/>
    </row>
    <row r="239">
      <c r="A239" s="5"/>
      <c r="B239" s="5"/>
      <c r="C239" s="5"/>
      <c r="D239" s="5"/>
      <c r="E239" s="3"/>
      <c r="F239" s="5"/>
      <c r="G239" s="31"/>
      <c r="H239" s="5"/>
      <c r="I239" s="5"/>
      <c r="J239" s="5"/>
      <c r="K239" s="5"/>
      <c r="L239" s="31"/>
      <c r="M239" s="5"/>
      <c r="N239" s="5"/>
    </row>
    <row r="240">
      <c r="A240" s="5"/>
      <c r="B240" s="5"/>
      <c r="C240" s="5"/>
      <c r="D240" s="5"/>
      <c r="E240" s="3"/>
      <c r="F240" s="5"/>
      <c r="G240" s="31"/>
      <c r="H240" s="5"/>
      <c r="I240" s="5"/>
      <c r="J240" s="5"/>
      <c r="K240" s="5"/>
      <c r="L240" s="31"/>
      <c r="M240" s="5"/>
      <c r="N240" s="5"/>
    </row>
    <row r="241">
      <c r="A241" s="5"/>
      <c r="B241" s="5"/>
      <c r="C241" s="5"/>
      <c r="D241" s="5"/>
      <c r="E241" s="3"/>
      <c r="F241" s="5"/>
      <c r="G241" s="31"/>
      <c r="H241" s="5"/>
      <c r="I241" s="5"/>
      <c r="J241" s="5"/>
      <c r="K241" s="5"/>
      <c r="L241" s="31"/>
      <c r="M241" s="5"/>
      <c r="N241" s="5"/>
    </row>
    <row r="242">
      <c r="A242" s="5"/>
      <c r="B242" s="5"/>
      <c r="C242" s="5"/>
      <c r="D242" s="5"/>
      <c r="E242" s="3"/>
      <c r="F242" s="5"/>
      <c r="G242" s="31"/>
      <c r="H242" s="5"/>
      <c r="I242" s="5"/>
      <c r="J242" s="5"/>
      <c r="K242" s="5"/>
      <c r="L242" s="31"/>
      <c r="M242" s="5"/>
      <c r="N242" s="5"/>
    </row>
    <row r="243">
      <c r="A243" s="5"/>
      <c r="B243" s="5"/>
      <c r="C243" s="5"/>
      <c r="D243" s="5"/>
      <c r="E243" s="3"/>
      <c r="F243" s="5"/>
      <c r="G243" s="31"/>
      <c r="H243" s="5"/>
      <c r="I243" s="5"/>
      <c r="J243" s="5"/>
      <c r="K243" s="5"/>
      <c r="L243" s="31"/>
      <c r="M243" s="5"/>
      <c r="N243" s="5"/>
    </row>
    <row r="244">
      <c r="A244" s="5"/>
      <c r="B244" s="5"/>
      <c r="C244" s="5"/>
      <c r="D244" s="5"/>
      <c r="E244" s="3"/>
      <c r="F244" s="5"/>
      <c r="G244" s="31"/>
      <c r="H244" s="5"/>
      <c r="I244" s="5"/>
      <c r="J244" s="5"/>
      <c r="K244" s="5"/>
      <c r="L244" s="31"/>
      <c r="M244" s="5"/>
      <c r="N244" s="5"/>
    </row>
    <row r="245">
      <c r="A245" s="5"/>
      <c r="B245" s="5"/>
      <c r="C245" s="5"/>
      <c r="D245" s="5"/>
      <c r="E245" s="3"/>
      <c r="F245" s="5"/>
      <c r="G245" s="31"/>
      <c r="H245" s="5"/>
      <c r="I245" s="5"/>
      <c r="J245" s="5"/>
      <c r="K245" s="5"/>
      <c r="L245" s="31"/>
      <c r="M245" s="5"/>
      <c r="N245" s="5"/>
    </row>
    <row r="246">
      <c r="A246" s="5"/>
      <c r="B246" s="5"/>
      <c r="C246" s="5"/>
      <c r="D246" s="5"/>
      <c r="E246" s="3"/>
      <c r="F246" s="5"/>
      <c r="G246" s="31"/>
      <c r="H246" s="5"/>
      <c r="I246" s="5"/>
      <c r="J246" s="5"/>
      <c r="K246" s="5"/>
      <c r="L246" s="31"/>
      <c r="M246" s="5"/>
      <c r="N246" s="5"/>
    </row>
    <row r="247">
      <c r="A247" s="5"/>
      <c r="B247" s="5"/>
      <c r="C247" s="5"/>
      <c r="D247" s="5"/>
      <c r="E247" s="3"/>
      <c r="F247" s="5"/>
      <c r="G247" s="31"/>
      <c r="H247" s="5"/>
      <c r="I247" s="5"/>
      <c r="J247" s="5"/>
      <c r="K247" s="5"/>
      <c r="L247" s="31"/>
      <c r="M247" s="5"/>
      <c r="N247" s="5"/>
    </row>
    <row r="248">
      <c r="A248" s="5"/>
      <c r="B248" s="5"/>
      <c r="C248" s="5"/>
      <c r="D248" s="5"/>
      <c r="E248" s="3"/>
      <c r="F248" s="5"/>
      <c r="G248" s="31"/>
      <c r="H248" s="5"/>
      <c r="I248" s="5"/>
      <c r="J248" s="5"/>
      <c r="K248" s="5"/>
      <c r="L248" s="31"/>
      <c r="M248" s="5"/>
      <c r="N248" s="5"/>
    </row>
    <row r="249">
      <c r="A249" s="5"/>
      <c r="B249" s="5"/>
      <c r="C249" s="5"/>
      <c r="D249" s="5"/>
      <c r="E249" s="3"/>
      <c r="F249" s="5"/>
      <c r="G249" s="31"/>
      <c r="H249" s="5"/>
      <c r="I249" s="5"/>
      <c r="J249" s="5"/>
      <c r="K249" s="5"/>
      <c r="L249" s="31"/>
      <c r="M249" s="5"/>
      <c r="N249" s="5"/>
    </row>
    <row r="250">
      <c r="A250" s="5"/>
      <c r="B250" s="5"/>
      <c r="C250" s="5"/>
      <c r="D250" s="5"/>
      <c r="E250" s="3"/>
      <c r="F250" s="5"/>
      <c r="G250" s="31"/>
      <c r="H250" s="5"/>
      <c r="I250" s="5"/>
      <c r="J250" s="5"/>
      <c r="K250" s="5"/>
      <c r="L250" s="31"/>
      <c r="M250" s="5"/>
      <c r="N250" s="5"/>
    </row>
    <row r="251">
      <c r="A251" s="5"/>
      <c r="B251" s="5"/>
      <c r="C251" s="5"/>
      <c r="D251" s="5"/>
      <c r="E251" s="3"/>
      <c r="F251" s="5"/>
      <c r="G251" s="31"/>
      <c r="H251" s="5"/>
      <c r="I251" s="5"/>
      <c r="J251" s="5"/>
      <c r="K251" s="5"/>
      <c r="L251" s="31"/>
      <c r="M251" s="5"/>
      <c r="N251" s="5"/>
    </row>
    <row r="252">
      <c r="A252" s="5"/>
      <c r="B252" s="5"/>
      <c r="C252" s="5"/>
      <c r="D252" s="5"/>
      <c r="E252" s="3"/>
      <c r="F252" s="5"/>
      <c r="G252" s="31"/>
      <c r="H252" s="5"/>
      <c r="I252" s="5"/>
      <c r="J252" s="5"/>
      <c r="K252" s="5"/>
      <c r="L252" s="31"/>
      <c r="M252" s="5"/>
      <c r="N252" s="5"/>
    </row>
    <row r="253">
      <c r="A253" s="5"/>
      <c r="B253" s="5"/>
      <c r="C253" s="5"/>
      <c r="D253" s="5"/>
      <c r="E253" s="3"/>
      <c r="F253" s="5"/>
      <c r="G253" s="31"/>
      <c r="H253" s="5"/>
      <c r="I253" s="5"/>
      <c r="J253" s="5"/>
      <c r="K253" s="5"/>
      <c r="L253" s="31"/>
      <c r="M253" s="5"/>
      <c r="N253" s="5"/>
    </row>
    <row r="254">
      <c r="A254" s="5"/>
      <c r="B254" s="5"/>
      <c r="C254" s="5"/>
      <c r="D254" s="5"/>
      <c r="E254" s="3"/>
      <c r="F254" s="5"/>
      <c r="G254" s="31"/>
      <c r="H254" s="5"/>
      <c r="I254" s="5"/>
      <c r="J254" s="5"/>
      <c r="K254" s="5"/>
      <c r="L254" s="31"/>
      <c r="M254" s="5"/>
      <c r="N254" s="5"/>
    </row>
    <row r="255">
      <c r="A255" s="5"/>
      <c r="B255" s="5"/>
      <c r="C255" s="5"/>
      <c r="D255" s="5"/>
      <c r="E255" s="3"/>
      <c r="F255" s="5"/>
      <c r="G255" s="31"/>
      <c r="H255" s="5"/>
      <c r="I255" s="5"/>
      <c r="J255" s="5"/>
      <c r="K255" s="5"/>
      <c r="L255" s="31"/>
      <c r="M255" s="5"/>
      <c r="N255" s="5"/>
    </row>
    <row r="256">
      <c r="A256" s="5"/>
      <c r="B256" s="5"/>
      <c r="C256" s="5"/>
      <c r="D256" s="5"/>
      <c r="E256" s="3"/>
      <c r="F256" s="5"/>
      <c r="G256" s="31"/>
      <c r="H256" s="5"/>
      <c r="I256" s="5"/>
      <c r="J256" s="5"/>
      <c r="K256" s="5"/>
      <c r="L256" s="31"/>
      <c r="M256" s="5"/>
      <c r="N256" s="5"/>
    </row>
    <row r="257">
      <c r="A257" s="5"/>
      <c r="B257" s="5"/>
      <c r="C257" s="5"/>
      <c r="D257" s="5"/>
      <c r="E257" s="3"/>
      <c r="F257" s="5"/>
      <c r="G257" s="31"/>
      <c r="H257" s="5"/>
      <c r="I257" s="5"/>
      <c r="J257" s="5"/>
      <c r="K257" s="5"/>
      <c r="L257" s="31"/>
      <c r="M257" s="5"/>
      <c r="N257" s="5"/>
    </row>
    <row r="258">
      <c r="A258" s="5"/>
      <c r="B258" s="5"/>
      <c r="C258" s="5"/>
      <c r="D258" s="5"/>
      <c r="E258" s="3"/>
      <c r="F258" s="5"/>
      <c r="G258" s="31"/>
      <c r="H258" s="5"/>
      <c r="I258" s="5"/>
      <c r="J258" s="5"/>
      <c r="K258" s="5"/>
      <c r="L258" s="31"/>
      <c r="M258" s="5"/>
      <c r="N258" s="5"/>
    </row>
    <row r="259">
      <c r="A259" s="5"/>
      <c r="B259" s="5"/>
      <c r="C259" s="5"/>
      <c r="D259" s="5"/>
      <c r="E259" s="3"/>
      <c r="F259" s="5"/>
      <c r="G259" s="31"/>
      <c r="H259" s="5"/>
      <c r="I259" s="5"/>
      <c r="J259" s="5"/>
      <c r="K259" s="5"/>
      <c r="L259" s="31"/>
      <c r="M259" s="5"/>
      <c r="N259" s="5"/>
    </row>
    <row r="260">
      <c r="A260" s="5"/>
      <c r="B260" s="5"/>
      <c r="C260" s="5"/>
      <c r="D260" s="5"/>
      <c r="E260" s="3"/>
      <c r="F260" s="5"/>
      <c r="G260" s="31"/>
      <c r="H260" s="5"/>
      <c r="I260" s="5"/>
      <c r="J260" s="5"/>
      <c r="K260" s="5"/>
      <c r="L260" s="31"/>
      <c r="M260" s="5"/>
      <c r="N260" s="5"/>
    </row>
    <row r="261">
      <c r="A261" s="5"/>
      <c r="B261" s="5"/>
      <c r="C261" s="5"/>
      <c r="D261" s="5"/>
      <c r="E261" s="3"/>
      <c r="F261" s="5"/>
      <c r="G261" s="31"/>
      <c r="H261" s="5"/>
      <c r="I261" s="5"/>
      <c r="J261" s="5"/>
      <c r="K261" s="5"/>
      <c r="L261" s="31"/>
      <c r="M261" s="5"/>
      <c r="N261" s="5"/>
    </row>
    <row r="262">
      <c r="A262" s="5"/>
      <c r="B262" s="5"/>
      <c r="C262" s="5"/>
      <c r="D262" s="5"/>
      <c r="E262" s="3"/>
      <c r="F262" s="5"/>
      <c r="G262" s="31"/>
      <c r="H262" s="5"/>
      <c r="I262" s="5"/>
      <c r="J262" s="5"/>
      <c r="K262" s="5"/>
      <c r="L262" s="31"/>
      <c r="M262" s="5"/>
      <c r="N262" s="5"/>
    </row>
    <row r="263">
      <c r="A263" s="5"/>
      <c r="B263" s="5"/>
      <c r="C263" s="5"/>
      <c r="D263" s="5"/>
      <c r="E263" s="3"/>
      <c r="F263" s="5"/>
      <c r="G263" s="31"/>
      <c r="H263" s="5"/>
      <c r="I263" s="5"/>
      <c r="J263" s="5"/>
      <c r="K263" s="5"/>
      <c r="L263" s="31"/>
      <c r="M263" s="5"/>
      <c r="N263" s="5"/>
    </row>
    <row r="264">
      <c r="A264" s="5"/>
      <c r="B264" s="5"/>
      <c r="C264" s="5"/>
      <c r="D264" s="5"/>
      <c r="E264" s="3"/>
      <c r="F264" s="5"/>
      <c r="G264" s="31"/>
      <c r="H264" s="5"/>
      <c r="I264" s="5"/>
      <c r="J264" s="5"/>
      <c r="K264" s="5"/>
      <c r="L264" s="31"/>
      <c r="M264" s="5"/>
      <c r="N264" s="5"/>
    </row>
    <row r="265">
      <c r="A265" s="5"/>
      <c r="B265" s="5"/>
      <c r="C265" s="5"/>
      <c r="D265" s="5"/>
      <c r="E265" s="3"/>
      <c r="F265" s="5"/>
      <c r="G265" s="31"/>
      <c r="H265" s="5"/>
      <c r="I265" s="5"/>
      <c r="J265" s="5"/>
      <c r="K265" s="5"/>
      <c r="L265" s="31"/>
      <c r="M265" s="5"/>
      <c r="N265" s="5"/>
    </row>
    <row r="266">
      <c r="A266" s="5"/>
      <c r="B266" s="5"/>
      <c r="C266" s="5"/>
      <c r="D266" s="5"/>
      <c r="E266" s="3"/>
      <c r="F266" s="5"/>
      <c r="G266" s="31"/>
      <c r="H266" s="5"/>
      <c r="I266" s="5"/>
      <c r="J266" s="5"/>
      <c r="K266" s="5"/>
      <c r="L266" s="31"/>
      <c r="M266" s="5"/>
      <c r="N266" s="5"/>
    </row>
    <row r="267">
      <c r="A267" s="5"/>
      <c r="B267" s="5"/>
      <c r="C267" s="5"/>
      <c r="D267" s="5"/>
      <c r="E267" s="3"/>
      <c r="F267" s="5"/>
      <c r="G267" s="31"/>
      <c r="H267" s="5"/>
      <c r="I267" s="5"/>
      <c r="J267" s="5"/>
      <c r="K267" s="5"/>
      <c r="L267" s="31"/>
      <c r="M267" s="5"/>
      <c r="N267" s="5"/>
    </row>
    <row r="268">
      <c r="A268" s="5"/>
      <c r="B268" s="5"/>
      <c r="C268" s="5"/>
      <c r="D268" s="5"/>
      <c r="E268" s="3"/>
      <c r="F268" s="5"/>
      <c r="G268" s="31"/>
      <c r="H268" s="5"/>
      <c r="I268" s="5"/>
      <c r="J268" s="5"/>
      <c r="K268" s="5"/>
      <c r="L268" s="31"/>
      <c r="M268" s="5"/>
      <c r="N268" s="5"/>
    </row>
    <row r="269">
      <c r="A269" s="5"/>
      <c r="B269" s="5"/>
      <c r="C269" s="5"/>
      <c r="D269" s="5"/>
      <c r="E269" s="3"/>
      <c r="F269" s="5"/>
      <c r="G269" s="31"/>
      <c r="H269" s="5"/>
      <c r="I269" s="5"/>
      <c r="J269" s="5"/>
      <c r="K269" s="5"/>
      <c r="L269" s="31"/>
      <c r="M269" s="5"/>
      <c r="N269" s="5"/>
    </row>
    <row r="270">
      <c r="A270" s="5"/>
      <c r="B270" s="5"/>
      <c r="C270" s="5"/>
      <c r="D270" s="5"/>
      <c r="E270" s="3"/>
      <c r="F270" s="5"/>
      <c r="G270" s="31"/>
      <c r="H270" s="5"/>
      <c r="I270" s="5"/>
      <c r="J270" s="5"/>
      <c r="K270" s="5"/>
      <c r="L270" s="31"/>
      <c r="M270" s="5"/>
      <c r="N270" s="5"/>
    </row>
    <row r="271">
      <c r="A271" s="5"/>
      <c r="B271" s="5"/>
      <c r="C271" s="5"/>
      <c r="D271" s="5"/>
      <c r="E271" s="3"/>
      <c r="F271" s="5"/>
      <c r="G271" s="31"/>
      <c r="H271" s="5"/>
      <c r="I271" s="5"/>
      <c r="J271" s="5"/>
      <c r="K271" s="5"/>
      <c r="L271" s="31"/>
      <c r="M271" s="5"/>
      <c r="N271" s="5"/>
    </row>
    <row r="272">
      <c r="A272" s="5"/>
      <c r="B272" s="5"/>
      <c r="C272" s="5"/>
      <c r="D272" s="5"/>
      <c r="E272" s="3"/>
      <c r="F272" s="5"/>
      <c r="G272" s="31"/>
      <c r="H272" s="5"/>
      <c r="I272" s="5"/>
      <c r="J272" s="5"/>
      <c r="K272" s="5"/>
      <c r="L272" s="31"/>
      <c r="M272" s="5"/>
      <c r="N272" s="5"/>
    </row>
    <row r="273">
      <c r="A273" s="5"/>
      <c r="B273" s="5"/>
      <c r="C273" s="5"/>
      <c r="D273" s="5"/>
      <c r="E273" s="3"/>
      <c r="F273" s="5"/>
      <c r="G273" s="31"/>
      <c r="H273" s="5"/>
      <c r="I273" s="5"/>
      <c r="J273" s="5"/>
      <c r="K273" s="5"/>
      <c r="L273" s="31"/>
      <c r="M273" s="5"/>
      <c r="N273" s="5"/>
    </row>
    <row r="274">
      <c r="A274" s="5"/>
      <c r="B274" s="5"/>
      <c r="C274" s="5"/>
      <c r="D274" s="5"/>
      <c r="E274" s="3"/>
      <c r="F274" s="5"/>
      <c r="G274" s="31"/>
      <c r="H274" s="5"/>
      <c r="I274" s="5"/>
      <c r="J274" s="5"/>
      <c r="K274" s="5"/>
      <c r="L274" s="31"/>
      <c r="M274" s="5"/>
      <c r="N274" s="5"/>
    </row>
    <row r="275">
      <c r="A275" s="5"/>
      <c r="B275" s="5"/>
      <c r="C275" s="5"/>
      <c r="D275" s="5"/>
      <c r="E275" s="3"/>
      <c r="F275" s="5"/>
      <c r="G275" s="31"/>
      <c r="H275" s="5"/>
      <c r="I275" s="5"/>
      <c r="J275" s="5"/>
      <c r="K275" s="5"/>
      <c r="L275" s="31"/>
      <c r="M275" s="5"/>
      <c r="N275" s="5"/>
    </row>
    <row r="276">
      <c r="A276" s="5"/>
      <c r="B276" s="5"/>
      <c r="C276" s="5"/>
      <c r="D276" s="5"/>
      <c r="E276" s="3"/>
      <c r="F276" s="5"/>
      <c r="G276" s="31"/>
      <c r="H276" s="5"/>
      <c r="I276" s="5"/>
      <c r="J276" s="5"/>
      <c r="K276" s="5"/>
      <c r="L276" s="31"/>
      <c r="M276" s="5"/>
      <c r="N276" s="5"/>
    </row>
    <row r="277">
      <c r="A277" s="5"/>
      <c r="B277" s="5"/>
      <c r="C277" s="5"/>
      <c r="D277" s="5"/>
      <c r="E277" s="3"/>
      <c r="F277" s="5"/>
      <c r="G277" s="31"/>
      <c r="H277" s="5"/>
      <c r="I277" s="5"/>
      <c r="J277" s="5"/>
      <c r="K277" s="5"/>
      <c r="L277" s="31"/>
      <c r="M277" s="5"/>
      <c r="N277" s="5"/>
    </row>
    <row r="278">
      <c r="A278" s="5"/>
      <c r="B278" s="5"/>
      <c r="C278" s="5"/>
      <c r="D278" s="5"/>
      <c r="E278" s="3"/>
      <c r="F278" s="5"/>
      <c r="G278" s="31"/>
      <c r="H278" s="5"/>
      <c r="I278" s="5"/>
      <c r="J278" s="5"/>
      <c r="K278" s="5"/>
      <c r="L278" s="31"/>
      <c r="M278" s="5"/>
      <c r="N278" s="5"/>
    </row>
    <row r="279">
      <c r="A279" s="5"/>
      <c r="B279" s="5"/>
      <c r="C279" s="5"/>
      <c r="D279" s="5"/>
      <c r="E279" s="3"/>
      <c r="F279" s="5"/>
      <c r="G279" s="31"/>
      <c r="H279" s="5"/>
      <c r="I279" s="5"/>
      <c r="J279" s="5"/>
      <c r="K279" s="5"/>
      <c r="L279" s="31"/>
      <c r="M279" s="5"/>
      <c r="N279" s="5"/>
    </row>
    <row r="280">
      <c r="A280" s="5"/>
      <c r="B280" s="5"/>
      <c r="C280" s="5"/>
      <c r="D280" s="5"/>
      <c r="E280" s="3"/>
      <c r="F280" s="5"/>
      <c r="G280" s="31"/>
      <c r="H280" s="5"/>
      <c r="I280" s="5"/>
      <c r="J280" s="5"/>
      <c r="K280" s="5"/>
      <c r="L280" s="31"/>
      <c r="M280" s="5"/>
      <c r="N280" s="5"/>
    </row>
    <row r="281">
      <c r="A281" s="5"/>
      <c r="B281" s="5"/>
      <c r="C281" s="5"/>
      <c r="D281" s="5"/>
      <c r="E281" s="3"/>
      <c r="F281" s="5"/>
      <c r="G281" s="31"/>
      <c r="H281" s="5"/>
      <c r="I281" s="5"/>
      <c r="J281" s="5"/>
      <c r="K281" s="5"/>
      <c r="L281" s="31"/>
      <c r="M281" s="5"/>
      <c r="N281" s="5"/>
    </row>
    <row r="282">
      <c r="A282" s="5"/>
      <c r="B282" s="5"/>
      <c r="C282" s="5"/>
      <c r="D282" s="5"/>
      <c r="E282" s="3"/>
      <c r="F282" s="5"/>
      <c r="G282" s="31"/>
      <c r="H282" s="5"/>
      <c r="I282" s="5"/>
      <c r="J282" s="5"/>
      <c r="K282" s="5"/>
      <c r="L282" s="31"/>
      <c r="M282" s="5"/>
      <c r="N282" s="5"/>
    </row>
    <row r="283">
      <c r="A283" s="5"/>
      <c r="B283" s="5"/>
      <c r="C283" s="5"/>
      <c r="D283" s="5"/>
      <c r="E283" s="3"/>
      <c r="F283" s="5"/>
      <c r="G283" s="31"/>
      <c r="H283" s="5"/>
      <c r="I283" s="5"/>
      <c r="J283" s="5"/>
      <c r="K283" s="5"/>
      <c r="L283" s="31"/>
      <c r="M283" s="5"/>
      <c r="N283" s="5"/>
    </row>
    <row r="284">
      <c r="A284" s="5"/>
      <c r="B284" s="5"/>
      <c r="C284" s="5"/>
      <c r="D284" s="5"/>
      <c r="E284" s="3"/>
      <c r="F284" s="5"/>
      <c r="G284" s="31"/>
      <c r="H284" s="5"/>
      <c r="I284" s="5"/>
      <c r="J284" s="5"/>
      <c r="K284" s="5"/>
      <c r="L284" s="31"/>
      <c r="M284" s="5"/>
      <c r="N284" s="5"/>
    </row>
    <row r="285">
      <c r="A285" s="5"/>
      <c r="B285" s="5"/>
      <c r="C285" s="5"/>
      <c r="D285" s="5"/>
      <c r="E285" s="3"/>
      <c r="F285" s="5"/>
      <c r="G285" s="31"/>
      <c r="H285" s="5"/>
      <c r="I285" s="5"/>
      <c r="J285" s="5"/>
      <c r="K285" s="5"/>
      <c r="L285" s="31"/>
      <c r="M285" s="5"/>
      <c r="N285" s="5"/>
    </row>
    <row r="286">
      <c r="A286" s="5"/>
      <c r="B286" s="5"/>
      <c r="C286" s="5"/>
      <c r="D286" s="5"/>
      <c r="E286" s="3"/>
      <c r="F286" s="5"/>
      <c r="G286" s="31"/>
      <c r="H286" s="5"/>
      <c r="I286" s="5"/>
      <c r="J286" s="5"/>
      <c r="K286" s="5"/>
      <c r="L286" s="31"/>
      <c r="M286" s="5"/>
      <c r="N286" s="5"/>
    </row>
    <row r="287">
      <c r="A287" s="5"/>
      <c r="B287" s="5"/>
      <c r="C287" s="5"/>
      <c r="D287" s="5"/>
      <c r="E287" s="3"/>
      <c r="F287" s="5"/>
      <c r="G287" s="31"/>
      <c r="H287" s="5"/>
      <c r="I287" s="5"/>
      <c r="J287" s="5"/>
      <c r="K287" s="5"/>
      <c r="L287" s="31"/>
      <c r="M287" s="5"/>
      <c r="N287" s="5"/>
    </row>
    <row r="288">
      <c r="A288" s="5"/>
      <c r="B288" s="5"/>
      <c r="C288" s="5"/>
      <c r="D288" s="5"/>
      <c r="E288" s="3"/>
      <c r="F288" s="5"/>
      <c r="G288" s="31"/>
      <c r="H288" s="5"/>
      <c r="I288" s="5"/>
      <c r="J288" s="5"/>
      <c r="K288" s="5"/>
      <c r="L288" s="31"/>
      <c r="M288" s="5"/>
      <c r="N288" s="5"/>
    </row>
    <row r="289">
      <c r="A289" s="5"/>
      <c r="B289" s="5"/>
      <c r="C289" s="5"/>
      <c r="D289" s="5"/>
      <c r="E289" s="3"/>
      <c r="F289" s="5"/>
      <c r="G289" s="31"/>
      <c r="H289" s="5"/>
      <c r="I289" s="5"/>
      <c r="J289" s="5"/>
      <c r="K289" s="5"/>
      <c r="L289" s="31"/>
      <c r="M289" s="5"/>
      <c r="N289" s="5"/>
    </row>
    <row r="290">
      <c r="A290" s="5"/>
      <c r="B290" s="5"/>
      <c r="C290" s="5"/>
      <c r="D290" s="5"/>
      <c r="E290" s="3"/>
      <c r="F290" s="5"/>
      <c r="G290" s="31"/>
      <c r="H290" s="5"/>
      <c r="I290" s="5"/>
      <c r="J290" s="5"/>
      <c r="K290" s="5"/>
      <c r="L290" s="31"/>
      <c r="M290" s="5"/>
      <c r="N290" s="5"/>
    </row>
    <row r="291">
      <c r="A291" s="5"/>
      <c r="B291" s="5"/>
      <c r="C291" s="5"/>
      <c r="D291" s="5"/>
      <c r="E291" s="3"/>
      <c r="F291" s="5"/>
      <c r="G291" s="31"/>
      <c r="H291" s="5"/>
      <c r="I291" s="5"/>
      <c r="J291" s="5"/>
      <c r="K291" s="5"/>
      <c r="L291" s="31"/>
      <c r="M291" s="5"/>
      <c r="N291" s="5"/>
    </row>
    <row r="292">
      <c r="A292" s="5"/>
      <c r="B292" s="5"/>
      <c r="C292" s="5"/>
      <c r="D292" s="5"/>
      <c r="E292" s="3"/>
      <c r="F292" s="5"/>
      <c r="G292" s="31"/>
      <c r="H292" s="5"/>
      <c r="I292" s="5"/>
      <c r="J292" s="5"/>
      <c r="K292" s="5"/>
      <c r="L292" s="31"/>
      <c r="M292" s="5"/>
      <c r="N292" s="5"/>
    </row>
    <row r="293">
      <c r="A293" s="5"/>
      <c r="B293" s="5"/>
      <c r="C293" s="5"/>
      <c r="D293" s="5"/>
      <c r="E293" s="3"/>
      <c r="F293" s="5"/>
      <c r="G293" s="31"/>
      <c r="H293" s="5"/>
      <c r="I293" s="5"/>
      <c r="J293" s="5"/>
      <c r="K293" s="5"/>
      <c r="L293" s="31"/>
      <c r="M293" s="5"/>
      <c r="N293" s="5"/>
    </row>
    <row r="294">
      <c r="A294" s="5"/>
      <c r="B294" s="5"/>
      <c r="C294" s="5"/>
      <c r="D294" s="5"/>
      <c r="E294" s="3"/>
      <c r="F294" s="5"/>
      <c r="G294" s="31"/>
      <c r="H294" s="5"/>
      <c r="I294" s="5"/>
      <c r="J294" s="5"/>
      <c r="K294" s="5"/>
      <c r="L294" s="31"/>
      <c r="M294" s="5"/>
      <c r="N294" s="5"/>
    </row>
    <row r="295">
      <c r="A295" s="5"/>
      <c r="B295" s="5"/>
      <c r="C295" s="5"/>
      <c r="D295" s="5"/>
      <c r="E295" s="3"/>
      <c r="F295" s="5"/>
      <c r="G295" s="31"/>
      <c r="H295" s="5"/>
      <c r="I295" s="5"/>
      <c r="J295" s="5"/>
      <c r="K295" s="5"/>
      <c r="L295" s="31"/>
      <c r="M295" s="5"/>
      <c r="N295" s="5"/>
    </row>
    <row r="296">
      <c r="A296" s="5"/>
      <c r="B296" s="5"/>
      <c r="C296" s="5"/>
      <c r="D296" s="5"/>
      <c r="E296" s="3"/>
      <c r="F296" s="5"/>
      <c r="G296" s="31"/>
      <c r="H296" s="5"/>
      <c r="I296" s="5"/>
      <c r="J296" s="5"/>
      <c r="K296" s="5"/>
      <c r="L296" s="31"/>
      <c r="M296" s="5"/>
      <c r="N296" s="5"/>
    </row>
    <row r="297">
      <c r="A297" s="5"/>
      <c r="B297" s="5"/>
      <c r="C297" s="5"/>
      <c r="D297" s="5"/>
      <c r="E297" s="3"/>
      <c r="F297" s="5"/>
      <c r="G297" s="31"/>
      <c r="H297" s="5"/>
      <c r="I297" s="5"/>
      <c r="J297" s="5"/>
      <c r="K297" s="5"/>
      <c r="L297" s="31"/>
      <c r="M297" s="5"/>
      <c r="N297" s="5"/>
    </row>
    <row r="298">
      <c r="A298" s="5"/>
      <c r="B298" s="5"/>
      <c r="C298" s="5"/>
      <c r="D298" s="5"/>
      <c r="E298" s="3"/>
      <c r="F298" s="5"/>
      <c r="G298" s="31"/>
      <c r="H298" s="5"/>
      <c r="I298" s="5"/>
      <c r="J298" s="5"/>
      <c r="K298" s="5"/>
      <c r="L298" s="31"/>
      <c r="M298" s="5"/>
      <c r="N298" s="5"/>
    </row>
    <row r="299">
      <c r="A299" s="5"/>
      <c r="B299" s="5"/>
      <c r="C299" s="5"/>
      <c r="D299" s="5"/>
      <c r="E299" s="3"/>
      <c r="F299" s="5"/>
      <c r="G299" s="31"/>
      <c r="H299" s="5"/>
      <c r="I299" s="5"/>
      <c r="J299" s="5"/>
      <c r="K299" s="5"/>
      <c r="L299" s="31"/>
      <c r="M299" s="5"/>
      <c r="N299" s="5"/>
    </row>
    <row r="300">
      <c r="A300" s="5"/>
      <c r="B300" s="5"/>
      <c r="C300" s="5"/>
      <c r="D300" s="5"/>
      <c r="E300" s="3"/>
      <c r="F300" s="5"/>
      <c r="G300" s="31"/>
      <c r="H300" s="5"/>
      <c r="I300" s="5"/>
      <c r="J300" s="5"/>
      <c r="K300" s="5"/>
      <c r="L300" s="31"/>
      <c r="M300" s="5"/>
      <c r="N300" s="5"/>
    </row>
    <row r="301">
      <c r="A301" s="5"/>
      <c r="B301" s="5"/>
      <c r="C301" s="5"/>
      <c r="D301" s="5"/>
      <c r="E301" s="3"/>
      <c r="F301" s="5"/>
      <c r="G301" s="31"/>
      <c r="H301" s="5"/>
      <c r="I301" s="5"/>
      <c r="J301" s="5"/>
      <c r="K301" s="5"/>
      <c r="L301" s="31"/>
      <c r="M301" s="5"/>
      <c r="N301" s="5"/>
    </row>
    <row r="302">
      <c r="A302" s="5"/>
      <c r="B302" s="5"/>
      <c r="C302" s="5"/>
      <c r="D302" s="5"/>
      <c r="E302" s="3"/>
      <c r="F302" s="5"/>
      <c r="G302" s="31"/>
      <c r="H302" s="5"/>
      <c r="I302" s="5"/>
      <c r="J302" s="5"/>
      <c r="K302" s="5"/>
      <c r="L302" s="31"/>
      <c r="M302" s="5"/>
      <c r="N302" s="5"/>
    </row>
    <row r="303">
      <c r="A303" s="5"/>
      <c r="B303" s="5"/>
      <c r="C303" s="5"/>
      <c r="D303" s="5"/>
      <c r="E303" s="3"/>
      <c r="F303" s="5"/>
      <c r="G303" s="31"/>
      <c r="H303" s="5"/>
      <c r="I303" s="5"/>
      <c r="J303" s="5"/>
      <c r="K303" s="5"/>
      <c r="L303" s="31"/>
      <c r="M303" s="5"/>
      <c r="N303" s="5"/>
    </row>
    <row r="304">
      <c r="A304" s="5"/>
      <c r="B304" s="5"/>
      <c r="C304" s="5"/>
      <c r="D304" s="5"/>
      <c r="E304" s="3"/>
      <c r="F304" s="5"/>
      <c r="G304" s="31"/>
      <c r="H304" s="5"/>
      <c r="I304" s="5"/>
      <c r="J304" s="5"/>
      <c r="K304" s="5"/>
      <c r="L304" s="31"/>
      <c r="M304" s="5"/>
      <c r="N304" s="5"/>
    </row>
    <row r="305">
      <c r="A305" s="5"/>
      <c r="B305" s="5"/>
      <c r="C305" s="5"/>
      <c r="D305" s="5"/>
      <c r="E305" s="3"/>
      <c r="F305" s="5"/>
      <c r="G305" s="31"/>
      <c r="H305" s="5"/>
      <c r="I305" s="5"/>
      <c r="J305" s="5"/>
      <c r="K305" s="5"/>
      <c r="L305" s="31"/>
      <c r="M305" s="5"/>
      <c r="N305" s="5"/>
    </row>
    <row r="306">
      <c r="A306" s="5"/>
      <c r="B306" s="5"/>
      <c r="C306" s="5"/>
      <c r="D306" s="5"/>
      <c r="E306" s="3"/>
      <c r="F306" s="5"/>
      <c r="G306" s="31"/>
      <c r="H306" s="5"/>
      <c r="I306" s="5"/>
      <c r="J306" s="5"/>
      <c r="K306" s="5"/>
      <c r="L306" s="31"/>
      <c r="M306" s="5"/>
      <c r="N306" s="5"/>
    </row>
    <row r="307">
      <c r="A307" s="5"/>
      <c r="B307" s="5"/>
      <c r="C307" s="5"/>
      <c r="D307" s="5"/>
      <c r="E307" s="3"/>
      <c r="F307" s="5"/>
      <c r="G307" s="31"/>
      <c r="H307" s="5"/>
      <c r="I307" s="5"/>
      <c r="J307" s="5"/>
      <c r="K307" s="5"/>
      <c r="L307" s="31"/>
      <c r="M307" s="5"/>
      <c r="N307" s="5"/>
    </row>
    <row r="308">
      <c r="A308" s="5"/>
      <c r="B308" s="5"/>
      <c r="C308" s="5"/>
      <c r="D308" s="5"/>
      <c r="E308" s="3"/>
      <c r="F308" s="5"/>
      <c r="G308" s="31"/>
      <c r="H308" s="5"/>
      <c r="I308" s="5"/>
      <c r="J308" s="5"/>
      <c r="K308" s="5"/>
      <c r="L308" s="31"/>
      <c r="M308" s="5"/>
      <c r="N308" s="5"/>
    </row>
    <row r="309">
      <c r="A309" s="5"/>
      <c r="B309" s="5"/>
      <c r="C309" s="5"/>
      <c r="D309" s="5"/>
      <c r="E309" s="3"/>
      <c r="F309" s="5"/>
      <c r="G309" s="31"/>
      <c r="H309" s="5"/>
      <c r="I309" s="5"/>
      <c r="J309" s="5"/>
      <c r="K309" s="5"/>
      <c r="L309" s="31"/>
      <c r="M309" s="5"/>
      <c r="N309" s="5"/>
    </row>
    <row r="310">
      <c r="A310" s="5"/>
      <c r="B310" s="5"/>
      <c r="C310" s="5"/>
      <c r="D310" s="5"/>
      <c r="E310" s="3"/>
      <c r="F310" s="5"/>
      <c r="G310" s="31"/>
      <c r="H310" s="5"/>
      <c r="I310" s="5"/>
      <c r="J310" s="5"/>
      <c r="K310" s="5"/>
      <c r="L310" s="31"/>
      <c r="M310" s="5"/>
      <c r="N310" s="5"/>
    </row>
    <row r="311">
      <c r="A311" s="5"/>
      <c r="B311" s="5"/>
      <c r="C311" s="5"/>
      <c r="D311" s="5"/>
      <c r="E311" s="3"/>
      <c r="F311" s="5"/>
      <c r="G311" s="31"/>
      <c r="H311" s="5"/>
      <c r="I311" s="5"/>
      <c r="J311" s="5"/>
      <c r="K311" s="5"/>
      <c r="L311" s="31"/>
      <c r="M311" s="5"/>
      <c r="N311" s="5"/>
    </row>
    <row r="312">
      <c r="A312" s="5"/>
      <c r="B312" s="5"/>
      <c r="C312" s="5"/>
      <c r="D312" s="5"/>
      <c r="E312" s="3"/>
      <c r="F312" s="5"/>
      <c r="G312" s="31"/>
      <c r="H312" s="5"/>
      <c r="I312" s="5"/>
      <c r="J312" s="5"/>
      <c r="K312" s="5"/>
      <c r="L312" s="31"/>
      <c r="M312" s="5"/>
      <c r="N312" s="5"/>
    </row>
    <row r="313">
      <c r="A313" s="5"/>
      <c r="B313" s="5"/>
      <c r="C313" s="5"/>
      <c r="D313" s="5"/>
      <c r="E313" s="3"/>
      <c r="F313" s="5"/>
      <c r="G313" s="31"/>
      <c r="H313" s="5"/>
      <c r="I313" s="5"/>
      <c r="J313" s="5"/>
      <c r="K313" s="5"/>
      <c r="L313" s="31"/>
      <c r="M313" s="5"/>
      <c r="N313" s="5"/>
    </row>
    <row r="314">
      <c r="A314" s="5"/>
      <c r="B314" s="5"/>
      <c r="C314" s="5"/>
      <c r="D314" s="5"/>
      <c r="E314" s="3"/>
      <c r="F314" s="5"/>
      <c r="G314" s="31"/>
      <c r="H314" s="5"/>
      <c r="I314" s="5"/>
      <c r="J314" s="5"/>
      <c r="K314" s="5"/>
      <c r="L314" s="31"/>
      <c r="M314" s="5"/>
      <c r="N314" s="5"/>
    </row>
    <row r="315">
      <c r="A315" s="5"/>
      <c r="B315" s="5"/>
      <c r="C315" s="5"/>
      <c r="D315" s="5"/>
      <c r="E315" s="3"/>
      <c r="F315" s="5"/>
      <c r="G315" s="31"/>
      <c r="H315" s="5"/>
      <c r="I315" s="5"/>
      <c r="J315" s="5"/>
      <c r="K315" s="5"/>
      <c r="L315" s="31"/>
      <c r="M315" s="5"/>
      <c r="N315" s="5"/>
    </row>
    <row r="316">
      <c r="A316" s="5"/>
      <c r="B316" s="5"/>
      <c r="C316" s="5"/>
      <c r="D316" s="5"/>
      <c r="E316" s="3"/>
      <c r="F316" s="5"/>
      <c r="G316" s="31"/>
      <c r="H316" s="5"/>
      <c r="I316" s="5"/>
      <c r="J316" s="5"/>
      <c r="K316" s="5"/>
      <c r="L316" s="31"/>
      <c r="M316" s="5"/>
      <c r="N316" s="5"/>
    </row>
    <row r="317">
      <c r="A317" s="5"/>
      <c r="B317" s="5"/>
      <c r="C317" s="5"/>
      <c r="D317" s="5"/>
      <c r="E317" s="3"/>
      <c r="F317" s="5"/>
      <c r="G317" s="31"/>
      <c r="H317" s="5"/>
      <c r="I317" s="5"/>
      <c r="J317" s="5"/>
      <c r="K317" s="5"/>
      <c r="L317" s="31"/>
      <c r="M317" s="5"/>
      <c r="N317" s="5"/>
    </row>
    <row r="318">
      <c r="A318" s="5"/>
      <c r="B318" s="5"/>
      <c r="C318" s="5"/>
      <c r="D318" s="5"/>
      <c r="E318" s="3"/>
      <c r="F318" s="5"/>
      <c r="G318" s="31"/>
      <c r="H318" s="5"/>
      <c r="I318" s="5"/>
      <c r="J318" s="5"/>
      <c r="K318" s="5"/>
      <c r="L318" s="31"/>
      <c r="M318" s="5"/>
      <c r="N318" s="5"/>
    </row>
    <row r="319">
      <c r="A319" s="5"/>
      <c r="B319" s="5"/>
      <c r="C319" s="5"/>
      <c r="D319" s="5"/>
      <c r="E319" s="3"/>
      <c r="F319" s="5"/>
      <c r="G319" s="31"/>
      <c r="H319" s="5"/>
      <c r="I319" s="5"/>
      <c r="J319" s="5"/>
      <c r="K319" s="5"/>
      <c r="L319" s="31"/>
      <c r="M319" s="5"/>
      <c r="N319" s="5"/>
    </row>
    <row r="320">
      <c r="A320" s="5"/>
      <c r="B320" s="5"/>
      <c r="C320" s="5"/>
      <c r="D320" s="5"/>
      <c r="E320" s="3"/>
      <c r="F320" s="5"/>
      <c r="G320" s="31"/>
      <c r="H320" s="5"/>
      <c r="I320" s="5"/>
      <c r="J320" s="5"/>
      <c r="K320" s="5"/>
      <c r="L320" s="31"/>
      <c r="M320" s="5"/>
      <c r="N320" s="5"/>
    </row>
    <row r="321">
      <c r="A321" s="5"/>
      <c r="B321" s="5"/>
      <c r="C321" s="5"/>
      <c r="D321" s="5"/>
      <c r="E321" s="3"/>
      <c r="F321" s="5"/>
      <c r="G321" s="31"/>
      <c r="H321" s="5"/>
      <c r="I321" s="5"/>
      <c r="J321" s="5"/>
      <c r="K321" s="5"/>
      <c r="L321" s="31"/>
      <c r="M321" s="5"/>
      <c r="N321" s="5"/>
    </row>
    <row r="322">
      <c r="A322" s="5"/>
      <c r="B322" s="5"/>
      <c r="C322" s="5"/>
      <c r="D322" s="5"/>
      <c r="E322" s="3"/>
      <c r="F322" s="5"/>
      <c r="G322" s="31"/>
      <c r="H322" s="5"/>
      <c r="I322" s="5"/>
      <c r="J322" s="5"/>
      <c r="K322" s="5"/>
      <c r="L322" s="31"/>
      <c r="M322" s="5"/>
      <c r="N322" s="5"/>
    </row>
    <row r="323">
      <c r="A323" s="5"/>
      <c r="B323" s="5"/>
      <c r="C323" s="5"/>
      <c r="D323" s="5"/>
      <c r="E323" s="3"/>
      <c r="F323" s="5"/>
      <c r="G323" s="31"/>
      <c r="H323" s="5"/>
      <c r="I323" s="5"/>
      <c r="J323" s="5"/>
      <c r="K323" s="5"/>
      <c r="L323" s="31"/>
      <c r="M323" s="5"/>
      <c r="N323" s="5"/>
    </row>
    <row r="324">
      <c r="A324" s="5"/>
      <c r="B324" s="5"/>
      <c r="C324" s="5"/>
      <c r="D324" s="5"/>
      <c r="E324" s="3"/>
      <c r="F324" s="5"/>
      <c r="G324" s="31"/>
      <c r="H324" s="5"/>
      <c r="I324" s="5"/>
      <c r="J324" s="5"/>
      <c r="K324" s="5"/>
      <c r="L324" s="31"/>
      <c r="M324" s="5"/>
      <c r="N324" s="5"/>
    </row>
    <row r="325">
      <c r="A325" s="5"/>
      <c r="B325" s="5"/>
      <c r="C325" s="5"/>
      <c r="D325" s="5"/>
      <c r="E325" s="3"/>
      <c r="F325" s="5"/>
      <c r="G325" s="31"/>
      <c r="H325" s="5"/>
      <c r="I325" s="5"/>
      <c r="J325" s="5"/>
      <c r="K325" s="5"/>
      <c r="L325" s="31"/>
      <c r="M325" s="5"/>
      <c r="N325" s="5"/>
    </row>
    <row r="326">
      <c r="A326" s="5"/>
      <c r="B326" s="5"/>
      <c r="C326" s="5"/>
      <c r="D326" s="5"/>
      <c r="E326" s="3"/>
      <c r="F326" s="5"/>
      <c r="G326" s="31"/>
      <c r="H326" s="5"/>
      <c r="I326" s="5"/>
      <c r="J326" s="5"/>
      <c r="K326" s="5"/>
      <c r="L326" s="31"/>
      <c r="M326" s="5"/>
      <c r="N326" s="5"/>
    </row>
    <row r="327">
      <c r="A327" s="5"/>
      <c r="B327" s="5"/>
      <c r="C327" s="5"/>
      <c r="D327" s="5"/>
      <c r="E327" s="3"/>
      <c r="F327" s="5"/>
      <c r="G327" s="31"/>
      <c r="H327" s="5"/>
      <c r="I327" s="5"/>
      <c r="J327" s="5"/>
      <c r="K327" s="5"/>
      <c r="L327" s="31"/>
      <c r="M327" s="5"/>
      <c r="N327" s="5"/>
    </row>
    <row r="328">
      <c r="A328" s="5"/>
      <c r="B328" s="5"/>
      <c r="C328" s="5"/>
      <c r="D328" s="5"/>
      <c r="E328" s="3"/>
      <c r="F328" s="5"/>
      <c r="G328" s="31"/>
      <c r="H328" s="5"/>
      <c r="I328" s="5"/>
      <c r="J328" s="5"/>
      <c r="K328" s="5"/>
      <c r="L328" s="31"/>
      <c r="M328" s="5"/>
      <c r="N328" s="5"/>
    </row>
    <row r="329">
      <c r="A329" s="5"/>
      <c r="B329" s="5"/>
      <c r="C329" s="5"/>
      <c r="D329" s="5"/>
      <c r="E329" s="3"/>
      <c r="F329" s="5"/>
      <c r="G329" s="31"/>
      <c r="H329" s="5"/>
      <c r="I329" s="5"/>
      <c r="J329" s="5"/>
      <c r="K329" s="5"/>
      <c r="L329" s="31"/>
      <c r="M329" s="5"/>
      <c r="N329" s="5"/>
    </row>
    <row r="330">
      <c r="A330" s="5"/>
      <c r="B330" s="5"/>
      <c r="C330" s="5"/>
      <c r="D330" s="5"/>
      <c r="E330" s="3"/>
      <c r="F330" s="5"/>
      <c r="G330" s="31"/>
      <c r="H330" s="5"/>
      <c r="I330" s="5"/>
      <c r="J330" s="5"/>
      <c r="K330" s="5"/>
      <c r="L330" s="31"/>
      <c r="M330" s="5"/>
      <c r="N330" s="5"/>
    </row>
    <row r="331">
      <c r="A331" s="5"/>
      <c r="B331" s="5"/>
      <c r="C331" s="5"/>
      <c r="D331" s="5"/>
      <c r="E331" s="3"/>
      <c r="F331" s="5"/>
      <c r="G331" s="31"/>
      <c r="H331" s="5"/>
      <c r="I331" s="5"/>
      <c r="J331" s="5"/>
      <c r="K331" s="5"/>
      <c r="L331" s="31"/>
      <c r="M331" s="5"/>
      <c r="N331" s="5"/>
    </row>
    <row r="332">
      <c r="A332" s="5"/>
      <c r="B332" s="5"/>
      <c r="C332" s="5"/>
      <c r="D332" s="5"/>
      <c r="E332" s="3"/>
      <c r="F332" s="5"/>
      <c r="G332" s="31"/>
      <c r="H332" s="5"/>
      <c r="I332" s="5"/>
      <c r="J332" s="5"/>
      <c r="K332" s="5"/>
      <c r="L332" s="31"/>
      <c r="M332" s="5"/>
      <c r="N332" s="5"/>
    </row>
    <row r="333">
      <c r="A333" s="5"/>
      <c r="B333" s="5"/>
      <c r="C333" s="5"/>
      <c r="D333" s="5"/>
      <c r="E333" s="3"/>
      <c r="F333" s="5"/>
      <c r="G333" s="31"/>
      <c r="H333" s="5"/>
      <c r="I333" s="5"/>
      <c r="J333" s="5"/>
      <c r="K333" s="5"/>
      <c r="L333" s="31"/>
      <c r="M333" s="5"/>
      <c r="N333" s="5"/>
    </row>
    <row r="334">
      <c r="A334" s="5"/>
      <c r="B334" s="5"/>
      <c r="C334" s="5"/>
      <c r="D334" s="5"/>
      <c r="E334" s="3"/>
      <c r="F334" s="5"/>
      <c r="G334" s="31"/>
      <c r="H334" s="5"/>
      <c r="I334" s="5"/>
      <c r="J334" s="5"/>
      <c r="K334" s="5"/>
      <c r="L334" s="31"/>
      <c r="M334" s="5"/>
      <c r="N334" s="5"/>
    </row>
    <row r="335">
      <c r="A335" s="5"/>
      <c r="B335" s="5"/>
      <c r="C335" s="5"/>
      <c r="D335" s="5"/>
      <c r="E335" s="3"/>
      <c r="F335" s="5"/>
      <c r="G335" s="31"/>
      <c r="H335" s="5"/>
      <c r="I335" s="5"/>
      <c r="J335" s="5"/>
      <c r="K335" s="5"/>
      <c r="L335" s="31"/>
      <c r="M335" s="5"/>
      <c r="N335" s="5"/>
    </row>
    <row r="336">
      <c r="A336" s="5"/>
      <c r="B336" s="5"/>
      <c r="C336" s="5"/>
      <c r="D336" s="5"/>
      <c r="E336" s="3"/>
      <c r="F336" s="5"/>
      <c r="G336" s="31"/>
      <c r="H336" s="5"/>
      <c r="I336" s="5"/>
      <c r="J336" s="5"/>
      <c r="K336" s="5"/>
      <c r="L336" s="31"/>
      <c r="M336" s="5"/>
      <c r="N336" s="5"/>
    </row>
    <row r="337">
      <c r="A337" s="5"/>
      <c r="B337" s="5"/>
      <c r="C337" s="5"/>
      <c r="D337" s="5"/>
      <c r="E337" s="3"/>
      <c r="F337" s="5"/>
      <c r="G337" s="31"/>
      <c r="H337" s="5"/>
      <c r="I337" s="5"/>
      <c r="J337" s="5"/>
      <c r="K337" s="5"/>
      <c r="L337" s="31"/>
      <c r="M337" s="5"/>
      <c r="N337" s="5"/>
    </row>
    <row r="338">
      <c r="A338" s="5"/>
      <c r="B338" s="5"/>
      <c r="C338" s="5"/>
      <c r="D338" s="5"/>
      <c r="E338" s="3"/>
      <c r="F338" s="5"/>
      <c r="G338" s="31"/>
      <c r="H338" s="5"/>
      <c r="I338" s="5"/>
      <c r="J338" s="5"/>
      <c r="K338" s="5"/>
      <c r="L338" s="31"/>
      <c r="M338" s="5"/>
      <c r="N338" s="5"/>
    </row>
    <row r="339">
      <c r="A339" s="5"/>
      <c r="B339" s="5"/>
      <c r="C339" s="5"/>
      <c r="D339" s="5"/>
      <c r="E339" s="3"/>
      <c r="F339" s="5"/>
      <c r="G339" s="31"/>
      <c r="H339" s="5"/>
      <c r="I339" s="5"/>
      <c r="J339" s="5"/>
      <c r="K339" s="5"/>
      <c r="L339" s="31"/>
      <c r="M339" s="5"/>
      <c r="N339" s="5"/>
    </row>
    <row r="340">
      <c r="A340" s="5"/>
      <c r="B340" s="5"/>
      <c r="C340" s="5"/>
      <c r="D340" s="5"/>
      <c r="E340" s="3"/>
      <c r="F340" s="5"/>
      <c r="G340" s="31"/>
      <c r="H340" s="5"/>
      <c r="I340" s="5"/>
      <c r="J340" s="5"/>
      <c r="K340" s="5"/>
      <c r="L340" s="31"/>
      <c r="M340" s="5"/>
      <c r="N340" s="5"/>
    </row>
    <row r="341">
      <c r="A341" s="5"/>
      <c r="B341" s="5"/>
      <c r="C341" s="5"/>
      <c r="D341" s="5"/>
      <c r="E341" s="3"/>
      <c r="F341" s="5"/>
      <c r="G341" s="31"/>
      <c r="H341" s="5"/>
      <c r="I341" s="5"/>
      <c r="J341" s="5"/>
      <c r="K341" s="5"/>
      <c r="L341" s="31"/>
      <c r="M341" s="5"/>
      <c r="N341" s="5"/>
    </row>
    <row r="342">
      <c r="A342" s="5"/>
      <c r="B342" s="5"/>
      <c r="C342" s="5"/>
      <c r="D342" s="5"/>
      <c r="E342" s="3"/>
      <c r="F342" s="5"/>
      <c r="G342" s="31"/>
      <c r="H342" s="5"/>
      <c r="I342" s="5"/>
      <c r="J342" s="5"/>
      <c r="K342" s="5"/>
      <c r="L342" s="31"/>
      <c r="M342" s="5"/>
      <c r="N342" s="5"/>
    </row>
    <row r="343">
      <c r="A343" s="5"/>
      <c r="B343" s="5"/>
      <c r="C343" s="5"/>
      <c r="D343" s="5"/>
      <c r="E343" s="3"/>
      <c r="F343" s="5"/>
      <c r="G343" s="31"/>
      <c r="H343" s="5"/>
      <c r="I343" s="5"/>
      <c r="J343" s="5"/>
      <c r="K343" s="5"/>
      <c r="L343" s="31"/>
      <c r="M343" s="5"/>
      <c r="N343" s="5"/>
    </row>
    <row r="344">
      <c r="A344" s="5"/>
      <c r="B344" s="5"/>
      <c r="C344" s="5"/>
      <c r="D344" s="5"/>
      <c r="E344" s="3"/>
      <c r="F344" s="5"/>
      <c r="G344" s="31"/>
      <c r="H344" s="5"/>
      <c r="I344" s="5"/>
      <c r="J344" s="5"/>
      <c r="K344" s="5"/>
      <c r="L344" s="31"/>
      <c r="M344" s="5"/>
      <c r="N344" s="5"/>
    </row>
    <row r="345">
      <c r="A345" s="5"/>
      <c r="B345" s="5"/>
      <c r="C345" s="5"/>
      <c r="D345" s="5"/>
      <c r="E345" s="3"/>
      <c r="F345" s="5"/>
      <c r="G345" s="31"/>
      <c r="H345" s="5"/>
      <c r="I345" s="5"/>
      <c r="J345" s="5"/>
      <c r="K345" s="5"/>
      <c r="L345" s="31"/>
      <c r="M345" s="5"/>
      <c r="N345" s="5"/>
    </row>
    <row r="346">
      <c r="A346" s="5"/>
      <c r="B346" s="5"/>
      <c r="C346" s="5"/>
      <c r="D346" s="5"/>
      <c r="E346" s="3"/>
      <c r="F346" s="5"/>
      <c r="G346" s="31"/>
      <c r="H346" s="5"/>
      <c r="I346" s="5"/>
      <c r="J346" s="5"/>
      <c r="K346" s="5"/>
      <c r="L346" s="31"/>
      <c r="M346" s="5"/>
      <c r="N346" s="5"/>
    </row>
    <row r="347">
      <c r="A347" s="5"/>
      <c r="B347" s="5"/>
      <c r="C347" s="5"/>
      <c r="D347" s="5"/>
      <c r="E347" s="3"/>
      <c r="F347" s="5"/>
      <c r="G347" s="31"/>
      <c r="H347" s="5"/>
      <c r="I347" s="5"/>
      <c r="J347" s="5"/>
      <c r="K347" s="5"/>
      <c r="L347" s="31"/>
      <c r="M347" s="5"/>
      <c r="N347" s="5"/>
    </row>
    <row r="348">
      <c r="A348" s="5"/>
      <c r="B348" s="5"/>
      <c r="C348" s="5"/>
      <c r="D348" s="5"/>
      <c r="E348" s="3"/>
      <c r="F348" s="5"/>
      <c r="G348" s="31"/>
      <c r="H348" s="5"/>
      <c r="I348" s="5"/>
      <c r="J348" s="5"/>
      <c r="K348" s="5"/>
      <c r="L348" s="31"/>
      <c r="M348" s="5"/>
      <c r="N348" s="5"/>
    </row>
    <row r="349">
      <c r="A349" s="5"/>
      <c r="B349" s="5"/>
      <c r="C349" s="5"/>
      <c r="D349" s="5"/>
      <c r="E349" s="3"/>
      <c r="F349" s="5"/>
      <c r="G349" s="31"/>
      <c r="H349" s="5"/>
      <c r="I349" s="5"/>
      <c r="J349" s="5"/>
      <c r="K349" s="5"/>
      <c r="L349" s="31"/>
      <c r="M349" s="5"/>
      <c r="N349" s="5"/>
    </row>
    <row r="350">
      <c r="A350" s="5"/>
      <c r="B350" s="5"/>
      <c r="C350" s="5"/>
      <c r="D350" s="5"/>
      <c r="E350" s="3"/>
      <c r="F350" s="5"/>
      <c r="G350" s="31"/>
      <c r="H350" s="5"/>
      <c r="I350" s="5"/>
      <c r="J350" s="5"/>
      <c r="K350" s="5"/>
      <c r="L350" s="31"/>
      <c r="M350" s="5"/>
      <c r="N350" s="5"/>
    </row>
    <row r="351">
      <c r="A351" s="5"/>
      <c r="B351" s="5"/>
      <c r="C351" s="5"/>
      <c r="D351" s="5"/>
      <c r="E351" s="3"/>
      <c r="F351" s="5"/>
      <c r="G351" s="31"/>
      <c r="H351" s="5"/>
      <c r="I351" s="5"/>
      <c r="J351" s="5"/>
      <c r="K351" s="5"/>
      <c r="L351" s="31"/>
      <c r="M351" s="5"/>
      <c r="N351" s="5"/>
    </row>
    <row r="352">
      <c r="A352" s="5"/>
      <c r="B352" s="5"/>
      <c r="C352" s="5"/>
      <c r="D352" s="5"/>
      <c r="E352" s="3"/>
      <c r="F352" s="5"/>
      <c r="G352" s="31"/>
      <c r="H352" s="5"/>
      <c r="I352" s="5"/>
      <c r="J352" s="5"/>
      <c r="K352" s="5"/>
      <c r="L352" s="31"/>
      <c r="M352" s="5"/>
      <c r="N352" s="5"/>
    </row>
    <row r="353">
      <c r="A353" s="5"/>
      <c r="B353" s="5"/>
      <c r="C353" s="5"/>
      <c r="D353" s="5"/>
      <c r="E353" s="3"/>
      <c r="F353" s="5"/>
      <c r="G353" s="31"/>
      <c r="H353" s="5"/>
      <c r="I353" s="5"/>
      <c r="J353" s="5"/>
      <c r="K353" s="5"/>
      <c r="L353" s="31"/>
      <c r="M353" s="5"/>
      <c r="N353" s="5"/>
    </row>
    <row r="354">
      <c r="A354" s="5"/>
      <c r="B354" s="5"/>
      <c r="C354" s="5"/>
      <c r="D354" s="5"/>
      <c r="E354" s="3"/>
      <c r="F354" s="5"/>
      <c r="G354" s="31"/>
      <c r="H354" s="5"/>
      <c r="I354" s="5"/>
      <c r="J354" s="5"/>
      <c r="K354" s="5"/>
      <c r="L354" s="31"/>
      <c r="M354" s="5"/>
      <c r="N354" s="5"/>
    </row>
    <row r="355">
      <c r="A355" s="5"/>
      <c r="B355" s="5"/>
      <c r="C355" s="5"/>
      <c r="D355" s="5"/>
      <c r="E355" s="3"/>
      <c r="F355" s="5"/>
      <c r="G355" s="31"/>
      <c r="H355" s="5"/>
      <c r="I355" s="5"/>
      <c r="J355" s="5"/>
      <c r="K355" s="5"/>
      <c r="L355" s="31"/>
      <c r="M355" s="5"/>
      <c r="N355" s="5"/>
    </row>
    <row r="356">
      <c r="A356" s="5"/>
      <c r="B356" s="5"/>
      <c r="C356" s="5"/>
      <c r="D356" s="5"/>
      <c r="E356" s="3"/>
      <c r="F356" s="5"/>
      <c r="G356" s="31"/>
      <c r="H356" s="5"/>
      <c r="I356" s="5"/>
      <c r="J356" s="5"/>
      <c r="K356" s="5"/>
      <c r="L356" s="31"/>
      <c r="M356" s="5"/>
      <c r="N356" s="5"/>
    </row>
    <row r="357">
      <c r="A357" s="5"/>
      <c r="B357" s="5"/>
      <c r="C357" s="5"/>
      <c r="D357" s="5"/>
      <c r="E357" s="3"/>
      <c r="F357" s="5"/>
      <c r="G357" s="31"/>
      <c r="H357" s="5"/>
      <c r="I357" s="5"/>
      <c r="J357" s="5"/>
      <c r="K357" s="5"/>
      <c r="L357" s="31"/>
      <c r="M357" s="5"/>
      <c r="N357" s="5"/>
    </row>
    <row r="358">
      <c r="A358" s="5"/>
      <c r="B358" s="5"/>
      <c r="C358" s="5"/>
      <c r="D358" s="5"/>
      <c r="E358" s="3"/>
      <c r="F358" s="5"/>
      <c r="G358" s="31"/>
      <c r="H358" s="5"/>
      <c r="I358" s="5"/>
      <c r="J358" s="5"/>
      <c r="K358" s="5"/>
      <c r="L358" s="31"/>
      <c r="M358" s="5"/>
      <c r="N358" s="5"/>
    </row>
    <row r="359">
      <c r="A359" s="5"/>
      <c r="B359" s="5"/>
      <c r="C359" s="5"/>
      <c r="D359" s="5"/>
      <c r="E359" s="3"/>
      <c r="F359" s="5"/>
      <c r="G359" s="31"/>
      <c r="H359" s="5"/>
      <c r="I359" s="5"/>
      <c r="J359" s="5"/>
      <c r="K359" s="5"/>
      <c r="L359" s="31"/>
      <c r="M359" s="5"/>
      <c r="N359" s="5"/>
    </row>
    <row r="360">
      <c r="A360" s="5"/>
      <c r="B360" s="5"/>
      <c r="C360" s="5"/>
      <c r="D360" s="5"/>
      <c r="E360" s="3"/>
      <c r="F360" s="5"/>
      <c r="G360" s="31"/>
      <c r="H360" s="5"/>
      <c r="I360" s="5"/>
      <c r="J360" s="5"/>
      <c r="K360" s="5"/>
      <c r="L360" s="31"/>
      <c r="M360" s="5"/>
      <c r="N360" s="5"/>
    </row>
    <row r="361">
      <c r="A361" s="5"/>
      <c r="B361" s="5"/>
      <c r="C361" s="5"/>
      <c r="D361" s="5"/>
      <c r="E361" s="3"/>
      <c r="F361" s="5"/>
      <c r="G361" s="31"/>
      <c r="H361" s="5"/>
      <c r="I361" s="5"/>
      <c r="J361" s="5"/>
      <c r="K361" s="5"/>
      <c r="L361" s="31"/>
      <c r="M361" s="5"/>
      <c r="N361" s="5"/>
    </row>
    <row r="362">
      <c r="A362" s="5"/>
      <c r="B362" s="5"/>
      <c r="C362" s="5"/>
      <c r="D362" s="5"/>
      <c r="E362" s="3"/>
      <c r="F362" s="5"/>
      <c r="G362" s="31"/>
      <c r="H362" s="5"/>
      <c r="I362" s="5"/>
      <c r="J362" s="5"/>
      <c r="K362" s="5"/>
      <c r="L362" s="31"/>
      <c r="M362" s="5"/>
      <c r="N362" s="5"/>
    </row>
    <row r="363">
      <c r="A363" s="5"/>
      <c r="B363" s="5"/>
      <c r="C363" s="5"/>
      <c r="D363" s="5"/>
      <c r="E363" s="3"/>
      <c r="F363" s="5"/>
      <c r="G363" s="31"/>
      <c r="H363" s="5"/>
      <c r="I363" s="5"/>
      <c r="J363" s="5"/>
      <c r="K363" s="5"/>
      <c r="L363" s="31"/>
      <c r="M363" s="5"/>
      <c r="N363" s="5"/>
    </row>
    <row r="364">
      <c r="A364" s="5"/>
      <c r="B364" s="5"/>
      <c r="C364" s="5"/>
      <c r="D364" s="5"/>
      <c r="E364" s="3"/>
      <c r="F364" s="5"/>
      <c r="G364" s="31"/>
      <c r="H364" s="5"/>
      <c r="I364" s="5"/>
      <c r="J364" s="5"/>
      <c r="K364" s="5"/>
      <c r="L364" s="31"/>
      <c r="M364" s="5"/>
      <c r="N364" s="5"/>
    </row>
    <row r="365">
      <c r="A365" s="5"/>
      <c r="B365" s="5"/>
      <c r="C365" s="5"/>
      <c r="D365" s="5"/>
      <c r="E365" s="3"/>
      <c r="F365" s="5"/>
      <c r="G365" s="31"/>
      <c r="H365" s="5"/>
      <c r="I365" s="5"/>
      <c r="J365" s="5"/>
      <c r="K365" s="5"/>
      <c r="L365" s="31"/>
      <c r="M365" s="5"/>
      <c r="N365" s="5"/>
    </row>
    <row r="366">
      <c r="A366" s="5"/>
      <c r="B366" s="5"/>
      <c r="C366" s="5"/>
      <c r="D366" s="5"/>
      <c r="E366" s="3"/>
      <c r="F366" s="5"/>
      <c r="G366" s="31"/>
      <c r="H366" s="5"/>
      <c r="I366" s="5"/>
      <c r="J366" s="5"/>
      <c r="K366" s="5"/>
      <c r="L366" s="31"/>
      <c r="M366" s="5"/>
      <c r="N366" s="5"/>
    </row>
    <row r="367">
      <c r="A367" s="5"/>
      <c r="B367" s="5"/>
      <c r="C367" s="5"/>
      <c r="D367" s="5"/>
      <c r="E367" s="3"/>
      <c r="F367" s="5"/>
      <c r="G367" s="31"/>
      <c r="H367" s="5"/>
      <c r="I367" s="5"/>
      <c r="J367" s="5"/>
      <c r="K367" s="5"/>
      <c r="L367" s="31"/>
      <c r="M367" s="5"/>
      <c r="N367" s="5"/>
    </row>
    <row r="368">
      <c r="A368" s="5"/>
      <c r="B368" s="5"/>
      <c r="C368" s="5"/>
      <c r="D368" s="5"/>
      <c r="E368" s="3"/>
      <c r="F368" s="5"/>
      <c r="G368" s="31"/>
      <c r="H368" s="5"/>
      <c r="I368" s="5"/>
      <c r="J368" s="5"/>
      <c r="K368" s="5"/>
      <c r="L368" s="31"/>
      <c r="M368" s="5"/>
      <c r="N368" s="5"/>
    </row>
    <row r="369">
      <c r="A369" s="5"/>
      <c r="B369" s="5"/>
      <c r="C369" s="5"/>
      <c r="D369" s="5"/>
      <c r="E369" s="3"/>
      <c r="F369" s="5"/>
      <c r="G369" s="31"/>
      <c r="H369" s="5"/>
      <c r="I369" s="5"/>
      <c r="J369" s="5"/>
      <c r="K369" s="5"/>
      <c r="L369" s="31"/>
      <c r="M369" s="5"/>
      <c r="N369" s="5"/>
    </row>
    <row r="370">
      <c r="A370" s="5"/>
      <c r="B370" s="5"/>
      <c r="C370" s="5"/>
      <c r="D370" s="5"/>
      <c r="E370" s="3"/>
      <c r="F370" s="5"/>
      <c r="G370" s="31"/>
      <c r="H370" s="5"/>
      <c r="I370" s="5"/>
      <c r="J370" s="5"/>
      <c r="K370" s="5"/>
      <c r="L370" s="31"/>
      <c r="M370" s="5"/>
      <c r="N370" s="5"/>
    </row>
    <row r="371">
      <c r="A371" s="5"/>
      <c r="B371" s="5"/>
      <c r="C371" s="5"/>
      <c r="D371" s="5"/>
      <c r="E371" s="3"/>
      <c r="F371" s="5"/>
      <c r="G371" s="31"/>
      <c r="H371" s="5"/>
      <c r="I371" s="5"/>
      <c r="J371" s="5"/>
      <c r="K371" s="5"/>
      <c r="L371" s="31"/>
      <c r="M371" s="5"/>
      <c r="N371" s="5"/>
    </row>
    <row r="372">
      <c r="A372" s="5"/>
      <c r="B372" s="5"/>
      <c r="C372" s="5"/>
      <c r="D372" s="5"/>
      <c r="E372" s="3"/>
      <c r="F372" s="5"/>
      <c r="G372" s="31"/>
      <c r="H372" s="5"/>
      <c r="I372" s="5"/>
      <c r="J372" s="5"/>
      <c r="K372" s="5"/>
      <c r="L372" s="31"/>
      <c r="M372" s="5"/>
      <c r="N372" s="5"/>
    </row>
    <row r="373">
      <c r="A373" s="5"/>
      <c r="B373" s="5"/>
      <c r="C373" s="5"/>
      <c r="D373" s="5"/>
      <c r="E373" s="3"/>
      <c r="F373" s="5"/>
      <c r="G373" s="31"/>
      <c r="H373" s="5"/>
      <c r="I373" s="5"/>
      <c r="J373" s="5"/>
      <c r="K373" s="5"/>
      <c r="L373" s="31"/>
      <c r="M373" s="5"/>
      <c r="N373" s="5"/>
    </row>
    <row r="374">
      <c r="A374" s="5"/>
      <c r="B374" s="5"/>
      <c r="C374" s="5"/>
      <c r="D374" s="5"/>
      <c r="E374" s="3"/>
      <c r="F374" s="5"/>
      <c r="G374" s="31"/>
      <c r="H374" s="5"/>
      <c r="I374" s="5"/>
      <c r="J374" s="5"/>
      <c r="K374" s="5"/>
      <c r="L374" s="31"/>
      <c r="M374" s="5"/>
      <c r="N374" s="5"/>
    </row>
    <row r="375">
      <c r="A375" s="5"/>
      <c r="B375" s="5"/>
      <c r="C375" s="5"/>
      <c r="D375" s="5"/>
      <c r="E375" s="3"/>
      <c r="F375" s="5"/>
      <c r="G375" s="31"/>
      <c r="H375" s="5"/>
      <c r="I375" s="5"/>
      <c r="J375" s="5"/>
      <c r="K375" s="5"/>
      <c r="L375" s="31"/>
      <c r="M375" s="5"/>
      <c r="N375" s="5"/>
    </row>
    <row r="376">
      <c r="A376" s="5"/>
      <c r="B376" s="5"/>
      <c r="C376" s="5"/>
      <c r="D376" s="5"/>
      <c r="E376" s="3"/>
      <c r="F376" s="5"/>
      <c r="G376" s="31"/>
      <c r="H376" s="5"/>
      <c r="I376" s="5"/>
      <c r="J376" s="5"/>
      <c r="K376" s="5"/>
      <c r="L376" s="31"/>
      <c r="M376" s="5"/>
      <c r="N376" s="5"/>
    </row>
    <row r="377">
      <c r="A377" s="5"/>
      <c r="B377" s="5"/>
      <c r="C377" s="5"/>
      <c r="D377" s="5"/>
      <c r="E377" s="3"/>
      <c r="F377" s="5"/>
      <c r="G377" s="31"/>
      <c r="H377" s="5"/>
      <c r="I377" s="5"/>
      <c r="J377" s="5"/>
      <c r="K377" s="5"/>
      <c r="L377" s="31"/>
      <c r="M377" s="5"/>
      <c r="N377" s="5"/>
    </row>
    <row r="378">
      <c r="A378" s="5"/>
      <c r="B378" s="5"/>
      <c r="C378" s="5"/>
      <c r="D378" s="5"/>
      <c r="E378" s="3"/>
      <c r="F378" s="5"/>
      <c r="G378" s="31"/>
      <c r="H378" s="5"/>
      <c r="I378" s="5"/>
      <c r="J378" s="5"/>
      <c r="K378" s="5"/>
      <c r="L378" s="31"/>
      <c r="M378" s="5"/>
      <c r="N378" s="5"/>
    </row>
    <row r="379">
      <c r="A379" s="5"/>
      <c r="B379" s="5"/>
      <c r="C379" s="5"/>
      <c r="D379" s="5"/>
      <c r="E379" s="3"/>
      <c r="F379" s="5"/>
      <c r="G379" s="31"/>
      <c r="H379" s="5"/>
      <c r="I379" s="5"/>
      <c r="J379" s="5"/>
      <c r="K379" s="5"/>
      <c r="L379" s="31"/>
      <c r="M379" s="5"/>
      <c r="N379" s="5"/>
    </row>
    <row r="380">
      <c r="A380" s="5"/>
      <c r="B380" s="5"/>
      <c r="C380" s="5"/>
      <c r="D380" s="5"/>
      <c r="E380" s="3"/>
      <c r="F380" s="5"/>
      <c r="G380" s="31"/>
      <c r="H380" s="5"/>
      <c r="I380" s="5"/>
      <c r="J380" s="5"/>
      <c r="K380" s="5"/>
      <c r="L380" s="31"/>
      <c r="M380" s="5"/>
      <c r="N380" s="5"/>
    </row>
    <row r="381">
      <c r="A381" s="5"/>
      <c r="B381" s="5"/>
      <c r="C381" s="5"/>
      <c r="D381" s="5"/>
      <c r="E381" s="3"/>
      <c r="F381" s="5"/>
      <c r="G381" s="31"/>
      <c r="H381" s="5"/>
      <c r="I381" s="5"/>
      <c r="J381" s="5"/>
      <c r="K381" s="5"/>
      <c r="L381" s="31"/>
      <c r="M381" s="5"/>
      <c r="N381" s="5"/>
    </row>
    <row r="382">
      <c r="A382" s="5"/>
      <c r="B382" s="5"/>
      <c r="C382" s="5"/>
      <c r="D382" s="5"/>
      <c r="E382" s="3"/>
      <c r="F382" s="5"/>
      <c r="G382" s="31"/>
      <c r="H382" s="5"/>
      <c r="I382" s="5"/>
      <c r="J382" s="5"/>
      <c r="K382" s="5"/>
      <c r="L382" s="31"/>
      <c r="M382" s="5"/>
      <c r="N382" s="5"/>
    </row>
    <row r="383">
      <c r="A383" s="5"/>
      <c r="B383" s="5"/>
      <c r="C383" s="5"/>
      <c r="D383" s="5"/>
      <c r="E383" s="3"/>
      <c r="F383" s="5"/>
      <c r="G383" s="31"/>
      <c r="H383" s="5"/>
      <c r="I383" s="5"/>
      <c r="J383" s="5"/>
      <c r="K383" s="5"/>
      <c r="L383" s="31"/>
      <c r="M383" s="5"/>
      <c r="N383" s="5"/>
    </row>
    <row r="384">
      <c r="A384" s="5"/>
      <c r="B384" s="5"/>
      <c r="C384" s="5"/>
      <c r="D384" s="5"/>
      <c r="E384" s="3"/>
      <c r="F384" s="5"/>
      <c r="G384" s="31"/>
      <c r="H384" s="5"/>
      <c r="I384" s="5"/>
      <c r="J384" s="5"/>
      <c r="K384" s="5"/>
      <c r="L384" s="31"/>
      <c r="M384" s="5"/>
      <c r="N384" s="5"/>
    </row>
    <row r="385">
      <c r="A385" s="5"/>
      <c r="B385" s="5"/>
      <c r="C385" s="5"/>
      <c r="D385" s="5"/>
      <c r="E385" s="3"/>
      <c r="F385" s="5"/>
      <c r="G385" s="31"/>
      <c r="H385" s="5"/>
      <c r="I385" s="5"/>
      <c r="J385" s="5"/>
      <c r="K385" s="5"/>
      <c r="L385" s="31"/>
      <c r="M385" s="5"/>
      <c r="N385" s="5"/>
    </row>
    <row r="386">
      <c r="A386" s="5"/>
      <c r="B386" s="5"/>
      <c r="C386" s="5"/>
      <c r="D386" s="5"/>
      <c r="E386" s="3"/>
      <c r="F386" s="5"/>
      <c r="G386" s="31"/>
      <c r="H386" s="5"/>
      <c r="I386" s="5"/>
      <c r="J386" s="5"/>
      <c r="K386" s="5"/>
      <c r="L386" s="31"/>
      <c r="M386" s="5"/>
      <c r="N386" s="5"/>
    </row>
    <row r="387">
      <c r="A387" s="5"/>
      <c r="B387" s="5"/>
      <c r="C387" s="5"/>
      <c r="D387" s="5"/>
      <c r="E387" s="3"/>
      <c r="F387" s="5"/>
      <c r="G387" s="31"/>
      <c r="H387" s="5"/>
      <c r="I387" s="5"/>
      <c r="J387" s="5"/>
      <c r="K387" s="5"/>
      <c r="L387" s="31"/>
      <c r="M387" s="5"/>
      <c r="N387" s="5"/>
    </row>
    <row r="388">
      <c r="A388" s="5"/>
      <c r="B388" s="5"/>
      <c r="C388" s="5"/>
      <c r="D388" s="5"/>
      <c r="E388" s="3"/>
      <c r="F388" s="5"/>
      <c r="G388" s="31"/>
      <c r="H388" s="5"/>
      <c r="I388" s="5"/>
      <c r="J388" s="5"/>
      <c r="K388" s="5"/>
      <c r="L388" s="31"/>
      <c r="M388" s="5"/>
      <c r="N388" s="5"/>
    </row>
    <row r="389">
      <c r="A389" s="5"/>
      <c r="B389" s="5"/>
      <c r="C389" s="5"/>
      <c r="D389" s="5"/>
      <c r="E389" s="3"/>
      <c r="F389" s="5"/>
      <c r="G389" s="31"/>
      <c r="H389" s="5"/>
      <c r="I389" s="5"/>
      <c r="J389" s="5"/>
      <c r="K389" s="5"/>
      <c r="L389" s="31"/>
      <c r="M389" s="5"/>
      <c r="N389" s="5"/>
    </row>
    <row r="390">
      <c r="A390" s="5"/>
      <c r="B390" s="5"/>
      <c r="C390" s="5"/>
      <c r="D390" s="5"/>
      <c r="E390" s="3"/>
      <c r="F390" s="5"/>
      <c r="G390" s="31"/>
      <c r="H390" s="5"/>
      <c r="I390" s="5"/>
      <c r="J390" s="5"/>
      <c r="K390" s="5"/>
      <c r="L390" s="31"/>
      <c r="M390" s="5"/>
      <c r="N390" s="5"/>
    </row>
    <row r="391">
      <c r="A391" s="5"/>
      <c r="B391" s="5"/>
      <c r="C391" s="5"/>
      <c r="D391" s="5"/>
      <c r="E391" s="3"/>
      <c r="F391" s="5"/>
      <c r="G391" s="31"/>
      <c r="H391" s="5"/>
      <c r="I391" s="5"/>
      <c r="J391" s="5"/>
      <c r="K391" s="5"/>
      <c r="L391" s="31"/>
      <c r="M391" s="5"/>
      <c r="N391" s="5"/>
    </row>
    <row r="392">
      <c r="A392" s="5"/>
      <c r="B392" s="5"/>
      <c r="C392" s="5"/>
      <c r="D392" s="5"/>
      <c r="E392" s="3"/>
      <c r="F392" s="5"/>
      <c r="G392" s="31"/>
      <c r="H392" s="5"/>
      <c r="I392" s="5"/>
      <c r="J392" s="5"/>
      <c r="K392" s="5"/>
      <c r="L392" s="31"/>
      <c r="M392" s="5"/>
      <c r="N392" s="5"/>
    </row>
    <row r="393">
      <c r="A393" s="5"/>
      <c r="B393" s="5"/>
      <c r="C393" s="5"/>
      <c r="D393" s="5"/>
      <c r="E393" s="3"/>
      <c r="F393" s="5"/>
      <c r="G393" s="31"/>
      <c r="H393" s="5"/>
      <c r="I393" s="5"/>
      <c r="J393" s="5"/>
      <c r="K393" s="5"/>
      <c r="L393" s="31"/>
      <c r="M393" s="5"/>
      <c r="N393" s="5"/>
    </row>
    <row r="394">
      <c r="A394" s="5"/>
      <c r="B394" s="5"/>
      <c r="C394" s="5"/>
      <c r="D394" s="5"/>
      <c r="E394" s="3"/>
      <c r="F394" s="5"/>
      <c r="G394" s="31"/>
      <c r="H394" s="5"/>
      <c r="I394" s="5"/>
      <c r="J394" s="5"/>
      <c r="K394" s="5"/>
      <c r="L394" s="31"/>
      <c r="M394" s="5"/>
      <c r="N394" s="5"/>
    </row>
    <row r="395">
      <c r="A395" s="5"/>
      <c r="B395" s="5"/>
      <c r="C395" s="5"/>
      <c r="D395" s="5"/>
      <c r="E395" s="3"/>
      <c r="F395" s="5"/>
      <c r="G395" s="31"/>
      <c r="H395" s="5"/>
      <c r="I395" s="5"/>
      <c r="J395" s="5"/>
      <c r="K395" s="5"/>
      <c r="L395" s="31"/>
      <c r="M395" s="5"/>
      <c r="N395" s="5"/>
    </row>
    <row r="396">
      <c r="A396" s="5"/>
      <c r="B396" s="5"/>
      <c r="C396" s="5"/>
      <c r="D396" s="5"/>
      <c r="E396" s="3"/>
      <c r="F396" s="5"/>
      <c r="G396" s="31"/>
      <c r="H396" s="5"/>
      <c r="I396" s="5"/>
      <c r="J396" s="5"/>
      <c r="K396" s="5"/>
      <c r="L396" s="31"/>
      <c r="M396" s="5"/>
      <c r="N396" s="5"/>
    </row>
    <row r="397">
      <c r="A397" s="5"/>
      <c r="B397" s="5"/>
      <c r="C397" s="5"/>
      <c r="D397" s="5"/>
      <c r="E397" s="3"/>
      <c r="F397" s="5"/>
      <c r="G397" s="31"/>
      <c r="H397" s="5"/>
      <c r="I397" s="5"/>
      <c r="J397" s="5"/>
      <c r="K397" s="5"/>
      <c r="L397" s="31"/>
      <c r="M397" s="5"/>
      <c r="N397" s="5"/>
    </row>
    <row r="398">
      <c r="A398" s="5"/>
      <c r="B398" s="5"/>
      <c r="C398" s="5"/>
      <c r="D398" s="5"/>
      <c r="E398" s="3"/>
      <c r="F398" s="5"/>
      <c r="G398" s="31"/>
      <c r="H398" s="5"/>
      <c r="I398" s="5"/>
      <c r="J398" s="5"/>
      <c r="K398" s="5"/>
      <c r="L398" s="31"/>
      <c r="M398" s="5"/>
      <c r="N398" s="5"/>
    </row>
    <row r="399">
      <c r="A399" s="5"/>
      <c r="B399" s="5"/>
      <c r="C399" s="5"/>
      <c r="D399" s="5"/>
      <c r="E399" s="3"/>
      <c r="F399" s="5"/>
      <c r="G399" s="31"/>
      <c r="H399" s="5"/>
      <c r="I399" s="5"/>
      <c r="J399" s="5"/>
      <c r="K399" s="5"/>
      <c r="L399" s="31"/>
      <c r="M399" s="5"/>
      <c r="N399" s="5"/>
    </row>
    <row r="400">
      <c r="A400" s="5"/>
      <c r="B400" s="5"/>
      <c r="C400" s="5"/>
      <c r="D400" s="5"/>
      <c r="E400" s="3"/>
      <c r="F400" s="5"/>
      <c r="G400" s="31"/>
      <c r="H400" s="5"/>
      <c r="I400" s="5"/>
      <c r="J400" s="5"/>
      <c r="K400" s="5"/>
      <c r="L400" s="31"/>
      <c r="M400" s="5"/>
      <c r="N400" s="5"/>
    </row>
    <row r="401">
      <c r="A401" s="5"/>
      <c r="B401" s="5"/>
      <c r="C401" s="5"/>
      <c r="D401" s="5"/>
      <c r="E401" s="3"/>
      <c r="F401" s="5"/>
      <c r="G401" s="31"/>
      <c r="H401" s="5"/>
      <c r="I401" s="5"/>
      <c r="J401" s="5"/>
      <c r="K401" s="5"/>
      <c r="L401" s="31"/>
      <c r="M401" s="5"/>
      <c r="N401" s="5"/>
    </row>
    <row r="402">
      <c r="A402" s="5"/>
      <c r="B402" s="5"/>
      <c r="C402" s="5"/>
      <c r="D402" s="5"/>
      <c r="E402" s="3"/>
      <c r="F402" s="5"/>
      <c r="G402" s="31"/>
      <c r="H402" s="5"/>
      <c r="I402" s="5"/>
      <c r="J402" s="5"/>
      <c r="K402" s="5"/>
      <c r="L402" s="31"/>
      <c r="M402" s="5"/>
      <c r="N402" s="5"/>
    </row>
    <row r="403">
      <c r="A403" s="5"/>
      <c r="B403" s="5"/>
      <c r="C403" s="5"/>
      <c r="D403" s="5"/>
      <c r="E403" s="3"/>
      <c r="F403" s="5"/>
      <c r="G403" s="31"/>
      <c r="H403" s="5"/>
      <c r="I403" s="5"/>
      <c r="J403" s="5"/>
      <c r="K403" s="5"/>
      <c r="L403" s="31"/>
      <c r="M403" s="5"/>
      <c r="N403" s="5"/>
    </row>
    <row r="404">
      <c r="A404" s="5"/>
      <c r="B404" s="5"/>
      <c r="C404" s="5"/>
      <c r="D404" s="5"/>
      <c r="E404" s="3"/>
      <c r="F404" s="5"/>
      <c r="G404" s="31"/>
      <c r="H404" s="5"/>
      <c r="I404" s="5"/>
      <c r="J404" s="5"/>
      <c r="K404" s="5"/>
      <c r="L404" s="31"/>
      <c r="M404" s="5"/>
      <c r="N404" s="5"/>
    </row>
    <row r="405">
      <c r="A405" s="5"/>
      <c r="B405" s="5"/>
      <c r="C405" s="5"/>
      <c r="D405" s="5"/>
      <c r="E405" s="3"/>
      <c r="F405" s="5"/>
      <c r="G405" s="31"/>
      <c r="H405" s="5"/>
      <c r="I405" s="5"/>
      <c r="J405" s="5"/>
      <c r="K405" s="5"/>
      <c r="L405" s="31"/>
      <c r="M405" s="5"/>
      <c r="N405" s="5"/>
    </row>
    <row r="406">
      <c r="A406" s="5"/>
      <c r="B406" s="5"/>
      <c r="C406" s="5"/>
      <c r="D406" s="5"/>
      <c r="E406" s="3"/>
      <c r="F406" s="5"/>
      <c r="G406" s="31"/>
      <c r="H406" s="5"/>
      <c r="I406" s="5"/>
      <c r="J406" s="5"/>
      <c r="K406" s="5"/>
      <c r="L406" s="31"/>
      <c r="M406" s="5"/>
      <c r="N406" s="5"/>
    </row>
    <row r="407">
      <c r="A407" s="5"/>
      <c r="B407" s="5"/>
      <c r="C407" s="5"/>
      <c r="D407" s="5"/>
      <c r="E407" s="3"/>
      <c r="F407" s="5"/>
      <c r="G407" s="31"/>
      <c r="H407" s="5"/>
      <c r="I407" s="5"/>
      <c r="J407" s="5"/>
      <c r="K407" s="5"/>
      <c r="L407" s="31"/>
      <c r="M407" s="5"/>
      <c r="N407" s="5"/>
    </row>
    <row r="408">
      <c r="A408" s="5"/>
      <c r="B408" s="5"/>
      <c r="C408" s="5"/>
      <c r="D408" s="5"/>
      <c r="E408" s="3"/>
      <c r="F408" s="5"/>
      <c r="G408" s="31"/>
      <c r="H408" s="5"/>
      <c r="I408" s="5"/>
      <c r="J408" s="5"/>
      <c r="K408" s="5"/>
      <c r="L408" s="31"/>
      <c r="M408" s="5"/>
      <c r="N408" s="5"/>
    </row>
    <row r="409">
      <c r="A409" s="5"/>
      <c r="B409" s="5"/>
      <c r="C409" s="5"/>
      <c r="D409" s="5"/>
      <c r="E409" s="3"/>
      <c r="F409" s="5"/>
      <c r="G409" s="31"/>
      <c r="H409" s="5"/>
      <c r="I409" s="5"/>
      <c r="J409" s="5"/>
      <c r="K409" s="5"/>
      <c r="L409" s="31"/>
      <c r="M409" s="5"/>
      <c r="N409" s="5"/>
    </row>
    <row r="410">
      <c r="A410" s="5"/>
      <c r="B410" s="5"/>
      <c r="C410" s="5"/>
      <c r="D410" s="5"/>
      <c r="E410" s="3"/>
      <c r="F410" s="5"/>
      <c r="G410" s="31"/>
      <c r="H410" s="5"/>
      <c r="I410" s="5"/>
      <c r="J410" s="5"/>
      <c r="K410" s="5"/>
      <c r="L410" s="31"/>
      <c r="M410" s="5"/>
      <c r="N410" s="5"/>
    </row>
    <row r="411">
      <c r="A411" s="5"/>
      <c r="B411" s="5"/>
      <c r="C411" s="5"/>
      <c r="D411" s="5"/>
      <c r="E411" s="3"/>
      <c r="F411" s="5"/>
      <c r="G411" s="31"/>
      <c r="H411" s="5"/>
      <c r="I411" s="5"/>
      <c r="J411" s="5"/>
      <c r="K411" s="5"/>
      <c r="L411" s="31"/>
      <c r="M411" s="5"/>
      <c r="N411" s="5"/>
    </row>
    <row r="412">
      <c r="A412" s="5"/>
      <c r="B412" s="5"/>
      <c r="C412" s="5"/>
      <c r="D412" s="5"/>
      <c r="E412" s="3"/>
      <c r="F412" s="5"/>
      <c r="G412" s="31"/>
      <c r="H412" s="5"/>
      <c r="I412" s="5"/>
      <c r="J412" s="5"/>
      <c r="K412" s="5"/>
      <c r="L412" s="31"/>
      <c r="M412" s="5"/>
      <c r="N412" s="5"/>
    </row>
    <row r="413">
      <c r="A413" s="5"/>
      <c r="B413" s="5"/>
      <c r="C413" s="5"/>
      <c r="D413" s="5"/>
      <c r="E413" s="3"/>
      <c r="F413" s="5"/>
      <c r="G413" s="31"/>
      <c r="H413" s="5"/>
      <c r="I413" s="5"/>
      <c r="J413" s="5"/>
      <c r="K413" s="5"/>
      <c r="L413" s="31"/>
      <c r="M413" s="5"/>
      <c r="N413" s="5"/>
    </row>
    <row r="414">
      <c r="A414" s="5"/>
      <c r="B414" s="5"/>
      <c r="C414" s="5"/>
      <c r="D414" s="5"/>
      <c r="E414" s="3"/>
      <c r="F414" s="5"/>
      <c r="G414" s="31"/>
      <c r="H414" s="5"/>
      <c r="I414" s="5"/>
      <c r="J414" s="5"/>
      <c r="K414" s="5"/>
      <c r="L414" s="31"/>
      <c r="M414" s="5"/>
      <c r="N414" s="5"/>
    </row>
    <row r="415">
      <c r="A415" s="5"/>
      <c r="B415" s="5"/>
      <c r="C415" s="5"/>
      <c r="D415" s="5"/>
      <c r="E415" s="3"/>
      <c r="F415" s="5"/>
      <c r="G415" s="31"/>
      <c r="H415" s="5"/>
      <c r="I415" s="5"/>
      <c r="J415" s="5"/>
      <c r="K415" s="5"/>
      <c r="L415" s="31"/>
      <c r="M415" s="5"/>
      <c r="N415" s="5"/>
    </row>
    <row r="416">
      <c r="A416" s="5"/>
      <c r="B416" s="5"/>
      <c r="C416" s="5"/>
      <c r="D416" s="5"/>
      <c r="E416" s="3"/>
      <c r="F416" s="5"/>
      <c r="G416" s="31"/>
      <c r="H416" s="5"/>
      <c r="I416" s="5"/>
      <c r="J416" s="5"/>
      <c r="K416" s="5"/>
      <c r="L416" s="31"/>
      <c r="M416" s="5"/>
      <c r="N416" s="5"/>
    </row>
    <row r="417">
      <c r="A417" s="5"/>
      <c r="B417" s="5"/>
      <c r="C417" s="5"/>
      <c r="D417" s="5"/>
      <c r="E417" s="3"/>
      <c r="F417" s="5"/>
      <c r="G417" s="31"/>
      <c r="H417" s="5"/>
      <c r="I417" s="5"/>
      <c r="J417" s="5"/>
      <c r="K417" s="5"/>
      <c r="L417" s="31"/>
      <c r="M417" s="5"/>
      <c r="N417" s="5"/>
    </row>
    <row r="418">
      <c r="A418" s="5"/>
      <c r="B418" s="5"/>
      <c r="C418" s="5"/>
      <c r="D418" s="5"/>
      <c r="E418" s="3"/>
      <c r="F418" s="5"/>
      <c r="G418" s="31"/>
      <c r="H418" s="5"/>
      <c r="I418" s="5"/>
      <c r="J418" s="5"/>
      <c r="K418" s="5"/>
      <c r="L418" s="31"/>
      <c r="M418" s="5"/>
      <c r="N418" s="5"/>
    </row>
    <row r="419">
      <c r="A419" s="5"/>
      <c r="B419" s="5"/>
      <c r="C419" s="5"/>
      <c r="D419" s="5"/>
      <c r="E419" s="3"/>
      <c r="F419" s="5"/>
      <c r="G419" s="31"/>
      <c r="H419" s="5"/>
      <c r="I419" s="5"/>
      <c r="J419" s="5"/>
      <c r="K419" s="5"/>
      <c r="L419" s="31"/>
      <c r="M419" s="5"/>
      <c r="N419" s="5"/>
    </row>
    <row r="420">
      <c r="A420" s="5"/>
      <c r="B420" s="5"/>
      <c r="C420" s="5"/>
      <c r="D420" s="5"/>
      <c r="E420" s="3"/>
      <c r="F420" s="5"/>
      <c r="G420" s="31"/>
      <c r="H420" s="5"/>
      <c r="I420" s="5"/>
      <c r="J420" s="5"/>
      <c r="K420" s="5"/>
      <c r="L420" s="31"/>
      <c r="M420" s="5"/>
      <c r="N420" s="5"/>
    </row>
    <row r="421">
      <c r="A421" s="5"/>
      <c r="B421" s="5"/>
      <c r="C421" s="5"/>
      <c r="D421" s="5"/>
      <c r="E421" s="3"/>
      <c r="F421" s="5"/>
      <c r="G421" s="31"/>
      <c r="H421" s="5"/>
      <c r="I421" s="5"/>
      <c r="J421" s="5"/>
      <c r="K421" s="5"/>
      <c r="L421" s="31"/>
      <c r="M421" s="5"/>
      <c r="N421" s="5"/>
    </row>
    <row r="422">
      <c r="A422" s="5"/>
      <c r="B422" s="5"/>
      <c r="C422" s="5"/>
      <c r="D422" s="5"/>
      <c r="E422" s="3"/>
      <c r="F422" s="5"/>
      <c r="G422" s="31"/>
      <c r="H422" s="5"/>
      <c r="I422" s="5"/>
      <c r="J422" s="5"/>
      <c r="K422" s="5"/>
      <c r="L422" s="31"/>
      <c r="M422" s="5"/>
      <c r="N422" s="5"/>
    </row>
    <row r="423">
      <c r="A423" s="5"/>
      <c r="B423" s="5"/>
      <c r="C423" s="5"/>
      <c r="D423" s="5"/>
      <c r="E423" s="3"/>
      <c r="F423" s="5"/>
      <c r="G423" s="31"/>
      <c r="H423" s="5"/>
      <c r="I423" s="5"/>
      <c r="J423" s="5"/>
      <c r="K423" s="5"/>
      <c r="L423" s="31"/>
      <c r="M423" s="5"/>
      <c r="N423" s="5"/>
    </row>
    <row r="424">
      <c r="A424" s="5"/>
      <c r="B424" s="5"/>
      <c r="C424" s="5"/>
      <c r="D424" s="5"/>
      <c r="E424" s="3"/>
      <c r="F424" s="5"/>
      <c r="G424" s="31"/>
      <c r="H424" s="5"/>
      <c r="I424" s="5"/>
      <c r="J424" s="5"/>
      <c r="K424" s="5"/>
      <c r="L424" s="31"/>
      <c r="M424" s="5"/>
      <c r="N424" s="5"/>
    </row>
    <row r="425">
      <c r="A425" s="5"/>
      <c r="B425" s="5"/>
      <c r="C425" s="5"/>
      <c r="D425" s="5"/>
      <c r="E425" s="3"/>
      <c r="F425" s="5"/>
      <c r="G425" s="31"/>
      <c r="H425" s="5"/>
      <c r="I425" s="5"/>
      <c r="J425" s="5"/>
      <c r="K425" s="5"/>
      <c r="L425" s="31"/>
      <c r="M425" s="5"/>
      <c r="N425" s="5"/>
    </row>
    <row r="426">
      <c r="A426" s="5"/>
      <c r="B426" s="5"/>
      <c r="C426" s="5"/>
      <c r="D426" s="5"/>
      <c r="E426" s="3"/>
      <c r="F426" s="5"/>
      <c r="G426" s="31"/>
      <c r="H426" s="5"/>
      <c r="I426" s="5"/>
      <c r="J426" s="5"/>
      <c r="K426" s="5"/>
      <c r="L426" s="31"/>
      <c r="M426" s="5"/>
      <c r="N426" s="5"/>
    </row>
    <row r="427">
      <c r="A427" s="5"/>
      <c r="B427" s="5"/>
      <c r="C427" s="5"/>
      <c r="D427" s="5"/>
      <c r="E427" s="3"/>
      <c r="F427" s="5"/>
      <c r="G427" s="31"/>
      <c r="H427" s="5"/>
      <c r="I427" s="5"/>
      <c r="J427" s="5"/>
      <c r="K427" s="5"/>
      <c r="L427" s="31"/>
      <c r="M427" s="5"/>
      <c r="N427" s="5"/>
    </row>
    <row r="428">
      <c r="A428" s="5"/>
      <c r="B428" s="5"/>
      <c r="C428" s="5"/>
      <c r="D428" s="5"/>
      <c r="E428" s="3"/>
      <c r="F428" s="5"/>
      <c r="G428" s="31"/>
      <c r="H428" s="5"/>
      <c r="I428" s="5"/>
      <c r="J428" s="5"/>
      <c r="K428" s="5"/>
      <c r="L428" s="31"/>
      <c r="M428" s="5"/>
      <c r="N428" s="5"/>
    </row>
    <row r="429">
      <c r="A429" s="5"/>
      <c r="B429" s="5"/>
      <c r="C429" s="5"/>
      <c r="D429" s="5"/>
      <c r="E429" s="3"/>
      <c r="F429" s="5"/>
      <c r="G429" s="31"/>
      <c r="H429" s="5"/>
      <c r="I429" s="5"/>
      <c r="J429" s="5"/>
      <c r="K429" s="5"/>
      <c r="L429" s="31"/>
      <c r="M429" s="5"/>
      <c r="N429" s="5"/>
    </row>
    <row r="430">
      <c r="A430" s="5"/>
      <c r="B430" s="5"/>
      <c r="C430" s="5"/>
      <c r="D430" s="5"/>
      <c r="E430" s="3"/>
      <c r="F430" s="5"/>
      <c r="G430" s="31"/>
      <c r="H430" s="5"/>
      <c r="I430" s="5"/>
      <c r="J430" s="5"/>
      <c r="K430" s="5"/>
      <c r="L430" s="31"/>
      <c r="M430" s="5"/>
      <c r="N430" s="5"/>
    </row>
    <row r="431">
      <c r="A431" s="5"/>
      <c r="B431" s="5"/>
      <c r="C431" s="5"/>
      <c r="D431" s="5"/>
      <c r="E431" s="3"/>
      <c r="F431" s="5"/>
      <c r="G431" s="31"/>
      <c r="H431" s="5"/>
      <c r="I431" s="5"/>
      <c r="J431" s="5"/>
      <c r="K431" s="5"/>
      <c r="L431" s="31"/>
      <c r="M431" s="5"/>
      <c r="N431" s="5"/>
    </row>
    <row r="432">
      <c r="A432" s="5"/>
      <c r="B432" s="5"/>
      <c r="C432" s="5"/>
      <c r="D432" s="5"/>
      <c r="E432" s="3"/>
      <c r="F432" s="5"/>
      <c r="G432" s="31"/>
      <c r="H432" s="5"/>
      <c r="I432" s="5"/>
      <c r="J432" s="5"/>
      <c r="K432" s="5"/>
      <c r="L432" s="31"/>
      <c r="M432" s="5"/>
      <c r="N432" s="5"/>
    </row>
    <row r="433">
      <c r="A433" s="5"/>
      <c r="B433" s="5"/>
      <c r="C433" s="5"/>
      <c r="D433" s="5"/>
      <c r="E433" s="3"/>
      <c r="F433" s="5"/>
      <c r="G433" s="31"/>
      <c r="H433" s="5"/>
      <c r="I433" s="5"/>
      <c r="J433" s="5"/>
      <c r="K433" s="5"/>
      <c r="L433" s="31"/>
      <c r="M433" s="5"/>
      <c r="N433" s="5"/>
    </row>
    <row r="434">
      <c r="A434" s="5"/>
      <c r="B434" s="5"/>
      <c r="C434" s="5"/>
      <c r="D434" s="5"/>
      <c r="E434" s="3"/>
      <c r="F434" s="5"/>
      <c r="G434" s="31"/>
      <c r="H434" s="5"/>
      <c r="I434" s="5"/>
      <c r="J434" s="5"/>
      <c r="K434" s="5"/>
      <c r="L434" s="31"/>
      <c r="M434" s="5"/>
      <c r="N434" s="5"/>
    </row>
    <row r="435">
      <c r="A435" s="5"/>
      <c r="B435" s="5"/>
      <c r="C435" s="5"/>
      <c r="D435" s="5"/>
      <c r="E435" s="3"/>
      <c r="F435" s="5"/>
      <c r="G435" s="31"/>
      <c r="H435" s="5"/>
      <c r="I435" s="5"/>
      <c r="J435" s="5"/>
      <c r="K435" s="5"/>
      <c r="L435" s="31"/>
      <c r="M435" s="5"/>
      <c r="N435" s="5"/>
    </row>
    <row r="436">
      <c r="A436" s="5"/>
      <c r="B436" s="5"/>
      <c r="C436" s="5"/>
      <c r="D436" s="5"/>
      <c r="E436" s="3"/>
      <c r="F436" s="5"/>
      <c r="G436" s="31"/>
      <c r="H436" s="5"/>
      <c r="I436" s="5"/>
      <c r="J436" s="5"/>
      <c r="K436" s="5"/>
      <c r="L436" s="31"/>
      <c r="M436" s="5"/>
      <c r="N436" s="5"/>
    </row>
    <row r="437">
      <c r="A437" s="5"/>
      <c r="B437" s="5"/>
      <c r="C437" s="5"/>
      <c r="D437" s="5"/>
      <c r="E437" s="3"/>
      <c r="F437" s="5"/>
      <c r="G437" s="31"/>
      <c r="H437" s="5"/>
      <c r="I437" s="5"/>
      <c r="J437" s="5"/>
      <c r="K437" s="5"/>
      <c r="L437" s="31"/>
      <c r="M437" s="5"/>
      <c r="N437" s="5"/>
    </row>
    <row r="438">
      <c r="A438" s="5"/>
      <c r="B438" s="5"/>
      <c r="C438" s="5"/>
      <c r="D438" s="5"/>
      <c r="E438" s="3"/>
      <c r="F438" s="5"/>
      <c r="G438" s="31"/>
      <c r="H438" s="5"/>
      <c r="I438" s="5"/>
      <c r="J438" s="5"/>
      <c r="K438" s="5"/>
      <c r="L438" s="31"/>
      <c r="M438" s="5"/>
      <c r="N438" s="5"/>
    </row>
    <row r="439">
      <c r="A439" s="5"/>
      <c r="B439" s="5"/>
      <c r="C439" s="5"/>
      <c r="D439" s="5"/>
      <c r="E439" s="3"/>
      <c r="F439" s="5"/>
      <c r="G439" s="31"/>
      <c r="H439" s="5"/>
      <c r="I439" s="5"/>
      <c r="J439" s="5"/>
      <c r="K439" s="5"/>
      <c r="L439" s="31"/>
      <c r="M439" s="5"/>
      <c r="N439" s="5"/>
    </row>
    <row r="440">
      <c r="A440" s="5"/>
      <c r="B440" s="5"/>
      <c r="C440" s="5"/>
      <c r="D440" s="5"/>
      <c r="E440" s="3"/>
      <c r="F440" s="5"/>
      <c r="G440" s="31"/>
      <c r="H440" s="5"/>
      <c r="I440" s="5"/>
      <c r="J440" s="5"/>
      <c r="K440" s="5"/>
      <c r="L440" s="31"/>
      <c r="M440" s="5"/>
      <c r="N440" s="5"/>
    </row>
    <row r="441">
      <c r="A441" s="5"/>
      <c r="B441" s="5"/>
      <c r="C441" s="5"/>
      <c r="D441" s="5"/>
      <c r="E441" s="3"/>
      <c r="F441" s="5"/>
      <c r="G441" s="31"/>
      <c r="H441" s="5"/>
      <c r="I441" s="5"/>
      <c r="J441" s="5"/>
      <c r="K441" s="5"/>
      <c r="L441" s="31"/>
      <c r="M441" s="5"/>
      <c r="N441" s="5"/>
    </row>
    <row r="442">
      <c r="A442" s="5"/>
      <c r="B442" s="5"/>
      <c r="C442" s="5"/>
      <c r="D442" s="5"/>
      <c r="E442" s="3"/>
      <c r="F442" s="5"/>
      <c r="G442" s="31"/>
      <c r="H442" s="5"/>
      <c r="I442" s="5"/>
      <c r="J442" s="5"/>
      <c r="K442" s="5"/>
      <c r="L442" s="31"/>
      <c r="M442" s="5"/>
      <c r="N442" s="5"/>
    </row>
    <row r="443">
      <c r="A443" s="5"/>
      <c r="B443" s="5"/>
      <c r="C443" s="5"/>
      <c r="D443" s="5"/>
      <c r="E443" s="3"/>
      <c r="F443" s="5"/>
      <c r="G443" s="31"/>
      <c r="H443" s="5"/>
      <c r="I443" s="5"/>
      <c r="J443" s="5"/>
      <c r="K443" s="5"/>
      <c r="L443" s="31"/>
      <c r="M443" s="5"/>
      <c r="N443" s="5"/>
    </row>
    <row r="444">
      <c r="A444" s="5"/>
      <c r="B444" s="5"/>
      <c r="C444" s="5"/>
      <c r="D444" s="5"/>
      <c r="E444" s="3"/>
      <c r="F444" s="5"/>
      <c r="G444" s="31"/>
      <c r="H444" s="5"/>
      <c r="I444" s="5"/>
      <c r="J444" s="5"/>
      <c r="K444" s="5"/>
      <c r="L444" s="31"/>
      <c r="M444" s="5"/>
      <c r="N444" s="5"/>
    </row>
    <row r="445">
      <c r="A445" s="5"/>
      <c r="B445" s="5"/>
      <c r="C445" s="5"/>
      <c r="D445" s="5"/>
      <c r="E445" s="3"/>
      <c r="F445" s="5"/>
      <c r="G445" s="31"/>
      <c r="H445" s="5"/>
      <c r="I445" s="5"/>
      <c r="J445" s="5"/>
      <c r="K445" s="5"/>
      <c r="L445" s="31"/>
      <c r="M445" s="5"/>
      <c r="N445" s="5"/>
    </row>
    <row r="446">
      <c r="A446" s="5"/>
      <c r="B446" s="5"/>
      <c r="C446" s="5"/>
      <c r="D446" s="5"/>
      <c r="E446" s="3"/>
      <c r="F446" s="5"/>
      <c r="G446" s="31"/>
      <c r="H446" s="5"/>
      <c r="I446" s="5"/>
      <c r="J446" s="5"/>
      <c r="K446" s="5"/>
      <c r="L446" s="31"/>
      <c r="M446" s="5"/>
      <c r="N446" s="5"/>
    </row>
    <row r="447">
      <c r="A447" s="5"/>
      <c r="B447" s="5"/>
      <c r="C447" s="5"/>
      <c r="D447" s="5"/>
      <c r="E447" s="3"/>
      <c r="F447" s="5"/>
      <c r="G447" s="31"/>
      <c r="H447" s="5"/>
      <c r="I447" s="5"/>
      <c r="J447" s="5"/>
      <c r="K447" s="5"/>
      <c r="L447" s="31"/>
      <c r="M447" s="5"/>
      <c r="N447" s="5"/>
    </row>
    <row r="448">
      <c r="A448" s="5"/>
      <c r="B448" s="5"/>
      <c r="C448" s="5"/>
      <c r="D448" s="5"/>
      <c r="E448" s="3"/>
      <c r="F448" s="5"/>
      <c r="G448" s="31"/>
      <c r="H448" s="5"/>
      <c r="I448" s="5"/>
      <c r="J448" s="5"/>
      <c r="K448" s="5"/>
      <c r="L448" s="31"/>
      <c r="M448" s="5"/>
      <c r="N448" s="5"/>
    </row>
    <row r="449">
      <c r="A449" s="5"/>
      <c r="B449" s="5"/>
      <c r="C449" s="5"/>
      <c r="D449" s="5"/>
      <c r="E449" s="3"/>
      <c r="F449" s="5"/>
      <c r="G449" s="31"/>
      <c r="H449" s="5"/>
      <c r="I449" s="5"/>
      <c r="J449" s="5"/>
      <c r="K449" s="5"/>
      <c r="L449" s="31"/>
      <c r="M449" s="5"/>
      <c r="N449" s="5"/>
    </row>
    <row r="450">
      <c r="A450" s="5"/>
      <c r="B450" s="5"/>
      <c r="C450" s="5"/>
      <c r="D450" s="5"/>
      <c r="E450" s="3"/>
      <c r="F450" s="5"/>
      <c r="G450" s="31"/>
      <c r="H450" s="5"/>
      <c r="I450" s="5"/>
      <c r="J450" s="5"/>
      <c r="K450" s="5"/>
      <c r="L450" s="31"/>
      <c r="M450" s="5"/>
      <c r="N450" s="5"/>
    </row>
    <row r="451">
      <c r="A451" s="5"/>
      <c r="B451" s="5"/>
      <c r="C451" s="5"/>
      <c r="D451" s="5"/>
      <c r="E451" s="3"/>
      <c r="F451" s="5"/>
      <c r="G451" s="31"/>
      <c r="H451" s="5"/>
      <c r="I451" s="5"/>
      <c r="J451" s="5"/>
      <c r="K451" s="5"/>
      <c r="L451" s="31"/>
      <c r="M451" s="5"/>
      <c r="N451" s="5"/>
    </row>
    <row r="452">
      <c r="A452" s="5"/>
      <c r="B452" s="5"/>
      <c r="C452" s="5"/>
      <c r="D452" s="5"/>
      <c r="E452" s="3"/>
      <c r="F452" s="5"/>
      <c r="G452" s="31"/>
      <c r="H452" s="5"/>
      <c r="I452" s="5"/>
      <c r="J452" s="5"/>
      <c r="K452" s="5"/>
      <c r="L452" s="31"/>
      <c r="M452" s="5"/>
      <c r="N452" s="5"/>
    </row>
    <row r="453">
      <c r="A453" s="5"/>
      <c r="B453" s="5"/>
      <c r="C453" s="5"/>
      <c r="D453" s="5"/>
      <c r="E453" s="3"/>
      <c r="F453" s="5"/>
      <c r="G453" s="31"/>
      <c r="H453" s="5"/>
      <c r="I453" s="5"/>
      <c r="J453" s="5"/>
      <c r="K453" s="5"/>
      <c r="L453" s="31"/>
      <c r="M453" s="5"/>
      <c r="N453" s="5"/>
    </row>
    <row r="454">
      <c r="A454" s="5"/>
      <c r="B454" s="5"/>
      <c r="C454" s="5"/>
      <c r="D454" s="5"/>
      <c r="E454" s="3"/>
      <c r="F454" s="5"/>
      <c r="G454" s="31"/>
      <c r="H454" s="5"/>
      <c r="I454" s="5"/>
      <c r="J454" s="5"/>
      <c r="K454" s="5"/>
      <c r="L454" s="31"/>
      <c r="M454" s="5"/>
      <c r="N454" s="5"/>
    </row>
    <row r="455">
      <c r="A455" s="5"/>
      <c r="B455" s="5"/>
      <c r="C455" s="5"/>
      <c r="D455" s="5"/>
      <c r="E455" s="3"/>
      <c r="F455" s="5"/>
      <c r="G455" s="31"/>
      <c r="H455" s="5"/>
      <c r="I455" s="5"/>
      <c r="J455" s="5"/>
      <c r="K455" s="5"/>
      <c r="L455" s="31"/>
      <c r="M455" s="5"/>
      <c r="N455" s="5"/>
    </row>
    <row r="456">
      <c r="A456" s="5"/>
      <c r="B456" s="5"/>
      <c r="C456" s="5"/>
      <c r="D456" s="5"/>
      <c r="E456" s="3"/>
      <c r="F456" s="5"/>
      <c r="G456" s="31"/>
      <c r="H456" s="5"/>
      <c r="I456" s="5"/>
      <c r="J456" s="5"/>
      <c r="K456" s="5"/>
      <c r="L456" s="31"/>
      <c r="M456" s="5"/>
      <c r="N456" s="5"/>
    </row>
    <row r="457">
      <c r="A457" s="5"/>
      <c r="B457" s="5"/>
      <c r="C457" s="5"/>
      <c r="D457" s="5"/>
      <c r="E457" s="3"/>
      <c r="F457" s="5"/>
      <c r="G457" s="31"/>
      <c r="H457" s="5"/>
      <c r="I457" s="5"/>
      <c r="J457" s="5"/>
      <c r="K457" s="5"/>
      <c r="L457" s="31"/>
      <c r="M457" s="5"/>
      <c r="N457" s="5"/>
    </row>
    <row r="458">
      <c r="A458" s="5"/>
      <c r="B458" s="5"/>
      <c r="C458" s="5"/>
      <c r="D458" s="5"/>
      <c r="E458" s="3"/>
      <c r="F458" s="5"/>
      <c r="G458" s="31"/>
      <c r="H458" s="5"/>
      <c r="I458" s="5"/>
      <c r="J458" s="5"/>
      <c r="K458" s="5"/>
      <c r="L458" s="31"/>
      <c r="M458" s="5"/>
      <c r="N458" s="5"/>
    </row>
    <row r="459">
      <c r="A459" s="5"/>
      <c r="B459" s="5"/>
      <c r="C459" s="5"/>
      <c r="D459" s="5"/>
      <c r="E459" s="3"/>
      <c r="F459" s="5"/>
      <c r="G459" s="31"/>
      <c r="H459" s="5"/>
      <c r="I459" s="5"/>
      <c r="J459" s="5"/>
      <c r="K459" s="5"/>
      <c r="L459" s="31"/>
      <c r="M459" s="5"/>
      <c r="N459" s="5"/>
    </row>
    <row r="460">
      <c r="A460" s="5"/>
      <c r="B460" s="5"/>
      <c r="C460" s="5"/>
      <c r="D460" s="5"/>
      <c r="E460" s="3"/>
      <c r="F460" s="5"/>
      <c r="G460" s="31"/>
      <c r="H460" s="5"/>
      <c r="I460" s="5"/>
      <c r="J460" s="5"/>
      <c r="K460" s="5"/>
      <c r="L460" s="31"/>
      <c r="M460" s="5"/>
      <c r="N460" s="5"/>
    </row>
    <row r="461">
      <c r="A461" s="5"/>
      <c r="B461" s="5"/>
      <c r="C461" s="5"/>
      <c r="D461" s="5"/>
      <c r="E461" s="3"/>
      <c r="F461" s="5"/>
      <c r="G461" s="31"/>
      <c r="H461" s="5"/>
      <c r="I461" s="5"/>
      <c r="J461" s="5"/>
      <c r="K461" s="5"/>
      <c r="L461" s="31"/>
      <c r="M461" s="5"/>
      <c r="N461" s="5"/>
    </row>
    <row r="462">
      <c r="A462" s="5"/>
      <c r="B462" s="5"/>
      <c r="C462" s="5"/>
      <c r="D462" s="5"/>
      <c r="E462" s="3"/>
      <c r="F462" s="5"/>
      <c r="G462" s="31"/>
      <c r="H462" s="5"/>
      <c r="I462" s="5"/>
      <c r="J462" s="5"/>
      <c r="K462" s="5"/>
      <c r="L462" s="31"/>
      <c r="M462" s="5"/>
      <c r="N462" s="5"/>
    </row>
    <row r="463">
      <c r="A463" s="5"/>
      <c r="B463" s="5"/>
      <c r="C463" s="5"/>
      <c r="D463" s="5"/>
      <c r="E463" s="3"/>
      <c r="F463" s="5"/>
      <c r="G463" s="31"/>
      <c r="H463" s="5"/>
      <c r="I463" s="5"/>
      <c r="J463" s="5"/>
      <c r="K463" s="5"/>
      <c r="L463" s="31"/>
      <c r="M463" s="5"/>
      <c r="N463" s="5"/>
    </row>
    <row r="464">
      <c r="A464" s="5"/>
      <c r="B464" s="5"/>
      <c r="C464" s="5"/>
      <c r="D464" s="5"/>
      <c r="E464" s="3"/>
      <c r="F464" s="5"/>
      <c r="G464" s="31"/>
      <c r="H464" s="5"/>
      <c r="I464" s="5"/>
      <c r="J464" s="5"/>
      <c r="K464" s="5"/>
      <c r="L464" s="31"/>
      <c r="M464" s="5"/>
      <c r="N464" s="5"/>
    </row>
    <row r="465">
      <c r="A465" s="5"/>
      <c r="B465" s="5"/>
      <c r="C465" s="5"/>
      <c r="D465" s="5"/>
      <c r="E465" s="3"/>
      <c r="F465" s="5"/>
      <c r="G465" s="31"/>
      <c r="H465" s="5"/>
      <c r="I465" s="5"/>
      <c r="J465" s="5"/>
      <c r="K465" s="5"/>
      <c r="L465" s="31"/>
      <c r="M465" s="5"/>
      <c r="N465" s="5"/>
    </row>
    <row r="466">
      <c r="A466" s="5"/>
      <c r="B466" s="5"/>
      <c r="C466" s="5"/>
      <c r="D466" s="5"/>
      <c r="E466" s="3"/>
      <c r="F466" s="5"/>
      <c r="G466" s="31"/>
      <c r="H466" s="5"/>
      <c r="I466" s="5"/>
      <c r="J466" s="5"/>
      <c r="K466" s="5"/>
      <c r="L466" s="31"/>
      <c r="M466" s="5"/>
      <c r="N466" s="5"/>
    </row>
    <row r="467">
      <c r="A467" s="5"/>
      <c r="B467" s="5"/>
      <c r="C467" s="5"/>
      <c r="D467" s="5"/>
      <c r="E467" s="3"/>
      <c r="F467" s="5"/>
      <c r="G467" s="31"/>
      <c r="H467" s="5"/>
      <c r="I467" s="5"/>
      <c r="J467" s="5"/>
      <c r="K467" s="5"/>
      <c r="L467" s="31"/>
      <c r="M467" s="5"/>
      <c r="N467" s="5"/>
    </row>
    <row r="468">
      <c r="A468" s="5"/>
      <c r="B468" s="5"/>
      <c r="C468" s="5"/>
      <c r="D468" s="5"/>
      <c r="E468" s="3"/>
      <c r="F468" s="5"/>
      <c r="G468" s="31"/>
      <c r="H468" s="5"/>
      <c r="I468" s="5"/>
      <c r="J468" s="5"/>
      <c r="K468" s="5"/>
      <c r="L468" s="31"/>
      <c r="M468" s="5"/>
      <c r="N468" s="5"/>
    </row>
    <row r="469">
      <c r="A469" s="5"/>
      <c r="B469" s="5"/>
      <c r="C469" s="5"/>
      <c r="D469" s="5"/>
      <c r="E469" s="3"/>
      <c r="F469" s="5"/>
      <c r="G469" s="31"/>
      <c r="H469" s="5"/>
      <c r="I469" s="5"/>
      <c r="J469" s="5"/>
      <c r="K469" s="5"/>
      <c r="L469" s="31"/>
      <c r="M469" s="5"/>
      <c r="N469" s="5"/>
    </row>
    <row r="470">
      <c r="A470" s="5"/>
      <c r="B470" s="5"/>
      <c r="C470" s="5"/>
      <c r="D470" s="5"/>
      <c r="E470" s="3"/>
      <c r="F470" s="5"/>
      <c r="G470" s="31"/>
      <c r="H470" s="5"/>
      <c r="I470" s="5"/>
      <c r="J470" s="5"/>
      <c r="K470" s="5"/>
      <c r="L470" s="31"/>
      <c r="M470" s="5"/>
      <c r="N470" s="5"/>
    </row>
    <row r="471">
      <c r="A471" s="5"/>
      <c r="B471" s="5"/>
      <c r="C471" s="5"/>
      <c r="D471" s="5"/>
      <c r="E471" s="3"/>
      <c r="F471" s="5"/>
      <c r="G471" s="31"/>
      <c r="H471" s="5"/>
      <c r="I471" s="5"/>
      <c r="J471" s="5"/>
      <c r="K471" s="5"/>
      <c r="L471" s="31"/>
      <c r="M471" s="5"/>
      <c r="N471" s="5"/>
    </row>
    <row r="472">
      <c r="A472" s="5"/>
      <c r="B472" s="5"/>
      <c r="C472" s="5"/>
      <c r="D472" s="5"/>
      <c r="E472" s="3"/>
      <c r="F472" s="5"/>
      <c r="G472" s="31"/>
      <c r="H472" s="5"/>
      <c r="I472" s="5"/>
      <c r="J472" s="5"/>
      <c r="K472" s="5"/>
      <c r="L472" s="31"/>
      <c r="M472" s="5"/>
      <c r="N472" s="5"/>
    </row>
    <row r="473">
      <c r="A473" s="5"/>
      <c r="B473" s="5"/>
      <c r="C473" s="5"/>
      <c r="D473" s="5"/>
      <c r="E473" s="3"/>
      <c r="F473" s="5"/>
      <c r="G473" s="31"/>
      <c r="H473" s="5"/>
      <c r="I473" s="5"/>
      <c r="J473" s="5"/>
      <c r="K473" s="5"/>
      <c r="L473" s="31"/>
      <c r="M473" s="5"/>
      <c r="N473" s="5"/>
    </row>
    <row r="474">
      <c r="A474" s="5"/>
      <c r="B474" s="5"/>
      <c r="C474" s="5"/>
      <c r="D474" s="5"/>
      <c r="E474" s="3"/>
      <c r="F474" s="5"/>
      <c r="G474" s="31"/>
      <c r="H474" s="5"/>
      <c r="I474" s="5"/>
      <c r="J474" s="5"/>
      <c r="K474" s="5"/>
      <c r="L474" s="31"/>
      <c r="M474" s="5"/>
      <c r="N474" s="5"/>
    </row>
    <row r="475">
      <c r="A475" s="5"/>
      <c r="B475" s="5"/>
      <c r="C475" s="5"/>
      <c r="D475" s="5"/>
      <c r="E475" s="3"/>
      <c r="F475" s="5"/>
      <c r="G475" s="31"/>
      <c r="H475" s="5"/>
      <c r="I475" s="5"/>
      <c r="J475" s="5"/>
      <c r="K475" s="5"/>
      <c r="L475" s="31"/>
      <c r="M475" s="5"/>
      <c r="N475" s="5"/>
    </row>
    <row r="476">
      <c r="A476" s="5"/>
      <c r="B476" s="5"/>
      <c r="C476" s="5"/>
      <c r="D476" s="5"/>
      <c r="E476" s="3"/>
      <c r="F476" s="5"/>
      <c r="G476" s="31"/>
      <c r="H476" s="5"/>
      <c r="I476" s="5"/>
      <c r="J476" s="5"/>
      <c r="K476" s="5"/>
      <c r="L476" s="31"/>
      <c r="M476" s="5"/>
      <c r="N476" s="5"/>
    </row>
    <row r="477">
      <c r="A477" s="5"/>
      <c r="B477" s="5"/>
      <c r="C477" s="5"/>
      <c r="D477" s="5"/>
      <c r="E477" s="3"/>
      <c r="F477" s="5"/>
      <c r="G477" s="31"/>
      <c r="H477" s="5"/>
      <c r="I477" s="5"/>
      <c r="J477" s="5"/>
      <c r="K477" s="5"/>
      <c r="L477" s="31"/>
      <c r="M477" s="5"/>
      <c r="N477" s="5"/>
    </row>
    <row r="478">
      <c r="A478" s="5"/>
      <c r="B478" s="5"/>
      <c r="C478" s="5"/>
      <c r="D478" s="5"/>
      <c r="E478" s="3"/>
      <c r="F478" s="5"/>
      <c r="G478" s="31"/>
      <c r="H478" s="5"/>
      <c r="I478" s="5"/>
      <c r="J478" s="5"/>
      <c r="K478" s="5"/>
      <c r="L478" s="31"/>
      <c r="M478" s="5"/>
      <c r="N478" s="5"/>
    </row>
    <row r="479">
      <c r="A479" s="5"/>
      <c r="B479" s="5"/>
      <c r="C479" s="5"/>
      <c r="D479" s="5"/>
      <c r="E479" s="3"/>
      <c r="F479" s="5"/>
      <c r="G479" s="31"/>
      <c r="H479" s="5"/>
      <c r="I479" s="5"/>
      <c r="J479" s="5"/>
      <c r="K479" s="5"/>
      <c r="L479" s="31"/>
      <c r="M479" s="5"/>
      <c r="N479" s="5"/>
    </row>
    <row r="480">
      <c r="A480" s="5"/>
      <c r="B480" s="5"/>
      <c r="C480" s="5"/>
      <c r="D480" s="5"/>
      <c r="E480" s="3"/>
      <c r="F480" s="5"/>
      <c r="G480" s="31"/>
      <c r="H480" s="5"/>
      <c r="I480" s="5"/>
      <c r="J480" s="5"/>
      <c r="K480" s="5"/>
      <c r="L480" s="31"/>
      <c r="M480" s="5"/>
      <c r="N480" s="5"/>
    </row>
    <row r="481">
      <c r="A481" s="5"/>
      <c r="B481" s="5"/>
      <c r="C481" s="5"/>
      <c r="D481" s="5"/>
      <c r="E481" s="3"/>
      <c r="F481" s="5"/>
      <c r="G481" s="31"/>
      <c r="H481" s="5"/>
      <c r="I481" s="5"/>
      <c r="J481" s="5"/>
      <c r="K481" s="5"/>
      <c r="L481" s="31"/>
      <c r="M481" s="5"/>
      <c r="N481" s="5"/>
    </row>
    <row r="482">
      <c r="A482" s="5"/>
      <c r="B482" s="5"/>
      <c r="C482" s="5"/>
      <c r="D482" s="5"/>
      <c r="E482" s="3"/>
      <c r="F482" s="5"/>
      <c r="G482" s="31"/>
      <c r="H482" s="5"/>
      <c r="I482" s="5"/>
      <c r="J482" s="5"/>
      <c r="K482" s="5"/>
      <c r="L482" s="31"/>
      <c r="M482" s="5"/>
      <c r="N482" s="5"/>
    </row>
    <row r="483">
      <c r="A483" s="5"/>
      <c r="B483" s="5"/>
      <c r="C483" s="5"/>
      <c r="D483" s="5"/>
      <c r="E483" s="3"/>
      <c r="F483" s="5"/>
      <c r="G483" s="31"/>
      <c r="H483" s="5"/>
      <c r="I483" s="5"/>
      <c r="J483" s="5"/>
      <c r="K483" s="5"/>
      <c r="L483" s="31"/>
      <c r="M483" s="5"/>
      <c r="N483" s="5"/>
    </row>
    <row r="484">
      <c r="A484" s="5"/>
      <c r="B484" s="5"/>
      <c r="C484" s="5"/>
      <c r="D484" s="5"/>
      <c r="E484" s="3"/>
      <c r="F484" s="5"/>
      <c r="G484" s="31"/>
      <c r="H484" s="5"/>
      <c r="I484" s="5"/>
      <c r="J484" s="5"/>
      <c r="K484" s="5"/>
      <c r="L484" s="31"/>
      <c r="M484" s="5"/>
      <c r="N484" s="5"/>
    </row>
    <row r="485">
      <c r="A485" s="5"/>
      <c r="B485" s="5"/>
      <c r="C485" s="5"/>
      <c r="D485" s="5"/>
      <c r="E485" s="3"/>
      <c r="F485" s="5"/>
      <c r="G485" s="31"/>
      <c r="H485" s="5"/>
      <c r="I485" s="5"/>
      <c r="J485" s="5"/>
      <c r="K485" s="5"/>
      <c r="L485" s="31"/>
      <c r="M485" s="5"/>
      <c r="N485" s="5"/>
    </row>
    <row r="486">
      <c r="A486" s="5"/>
      <c r="B486" s="5"/>
      <c r="C486" s="5"/>
      <c r="D486" s="5"/>
      <c r="E486" s="3"/>
      <c r="F486" s="5"/>
      <c r="G486" s="31"/>
      <c r="H486" s="5"/>
      <c r="I486" s="5"/>
      <c r="J486" s="5"/>
      <c r="K486" s="5"/>
      <c r="L486" s="31"/>
      <c r="M486" s="5"/>
      <c r="N486" s="5"/>
    </row>
    <row r="487">
      <c r="A487" s="5"/>
      <c r="B487" s="5"/>
      <c r="C487" s="5"/>
      <c r="D487" s="5"/>
      <c r="E487" s="3"/>
      <c r="F487" s="5"/>
      <c r="G487" s="31"/>
      <c r="H487" s="5"/>
      <c r="I487" s="5"/>
      <c r="J487" s="5"/>
      <c r="K487" s="5"/>
      <c r="L487" s="31"/>
      <c r="M487" s="5"/>
      <c r="N487" s="5"/>
    </row>
    <row r="488">
      <c r="A488" s="5"/>
      <c r="B488" s="5"/>
      <c r="C488" s="5"/>
      <c r="D488" s="5"/>
      <c r="E488" s="3"/>
      <c r="F488" s="5"/>
      <c r="G488" s="31"/>
      <c r="H488" s="5"/>
      <c r="I488" s="5"/>
      <c r="J488" s="5"/>
      <c r="K488" s="5"/>
      <c r="L488" s="31"/>
      <c r="M488" s="5"/>
      <c r="N488" s="5"/>
    </row>
    <row r="489">
      <c r="A489" s="5"/>
      <c r="B489" s="5"/>
      <c r="C489" s="5"/>
      <c r="D489" s="5"/>
      <c r="E489" s="3"/>
      <c r="F489" s="5"/>
      <c r="G489" s="31"/>
      <c r="H489" s="5"/>
      <c r="I489" s="5"/>
      <c r="J489" s="5"/>
      <c r="K489" s="5"/>
      <c r="L489" s="31"/>
      <c r="M489" s="5"/>
      <c r="N489" s="5"/>
    </row>
    <row r="490">
      <c r="A490" s="5"/>
      <c r="B490" s="5"/>
      <c r="C490" s="5"/>
      <c r="D490" s="5"/>
      <c r="E490" s="3"/>
      <c r="F490" s="5"/>
      <c r="G490" s="31"/>
      <c r="H490" s="5"/>
      <c r="I490" s="5"/>
      <c r="J490" s="5"/>
      <c r="K490" s="5"/>
      <c r="L490" s="31"/>
      <c r="M490" s="5"/>
      <c r="N490" s="5"/>
    </row>
    <row r="491">
      <c r="A491" s="5"/>
      <c r="B491" s="5"/>
      <c r="C491" s="5"/>
      <c r="D491" s="5"/>
      <c r="E491" s="3"/>
      <c r="F491" s="5"/>
      <c r="G491" s="31"/>
      <c r="H491" s="5"/>
      <c r="I491" s="5"/>
      <c r="J491" s="5"/>
      <c r="K491" s="5"/>
      <c r="L491" s="31"/>
      <c r="M491" s="5"/>
      <c r="N491" s="5"/>
    </row>
    <row r="492">
      <c r="A492" s="5"/>
      <c r="B492" s="5"/>
      <c r="C492" s="5"/>
      <c r="D492" s="5"/>
      <c r="E492" s="3"/>
      <c r="F492" s="5"/>
      <c r="G492" s="31"/>
      <c r="H492" s="5"/>
      <c r="I492" s="5"/>
      <c r="J492" s="5"/>
      <c r="K492" s="5"/>
      <c r="L492" s="31"/>
      <c r="M492" s="5"/>
      <c r="N492" s="5"/>
    </row>
    <row r="493">
      <c r="A493" s="5"/>
      <c r="B493" s="5"/>
      <c r="C493" s="5"/>
      <c r="D493" s="5"/>
      <c r="E493" s="3"/>
      <c r="F493" s="5"/>
      <c r="G493" s="31"/>
      <c r="H493" s="5"/>
      <c r="I493" s="5"/>
      <c r="J493" s="5"/>
      <c r="K493" s="5"/>
      <c r="L493" s="31"/>
      <c r="M493" s="5"/>
      <c r="N493" s="5"/>
    </row>
    <row r="494">
      <c r="A494" s="5"/>
      <c r="B494" s="5"/>
      <c r="C494" s="5"/>
      <c r="D494" s="5"/>
      <c r="E494" s="3"/>
      <c r="F494" s="5"/>
      <c r="G494" s="31"/>
      <c r="H494" s="5"/>
      <c r="I494" s="5"/>
      <c r="J494" s="5"/>
      <c r="K494" s="5"/>
      <c r="L494" s="31"/>
      <c r="M494" s="5"/>
      <c r="N494" s="5"/>
    </row>
    <row r="495">
      <c r="A495" s="5"/>
      <c r="B495" s="5"/>
      <c r="C495" s="5"/>
      <c r="D495" s="5"/>
      <c r="E495" s="3"/>
      <c r="F495" s="5"/>
      <c r="G495" s="31"/>
      <c r="H495" s="5"/>
      <c r="I495" s="5"/>
      <c r="J495" s="5"/>
      <c r="K495" s="5"/>
      <c r="L495" s="31"/>
      <c r="M495" s="5"/>
      <c r="N495" s="5"/>
    </row>
    <row r="496">
      <c r="A496" s="5"/>
      <c r="B496" s="5"/>
      <c r="C496" s="5"/>
      <c r="D496" s="5"/>
      <c r="E496" s="3"/>
      <c r="F496" s="5"/>
      <c r="G496" s="31"/>
      <c r="H496" s="5"/>
      <c r="I496" s="5"/>
      <c r="J496" s="5"/>
      <c r="K496" s="5"/>
      <c r="L496" s="31"/>
      <c r="M496" s="5"/>
      <c r="N496" s="5"/>
    </row>
    <row r="497">
      <c r="A497" s="5"/>
      <c r="B497" s="5"/>
      <c r="C497" s="5"/>
      <c r="D497" s="5"/>
      <c r="E497" s="3"/>
      <c r="F497" s="5"/>
      <c r="G497" s="31"/>
      <c r="H497" s="5"/>
      <c r="I497" s="5"/>
      <c r="J497" s="5"/>
      <c r="K497" s="5"/>
      <c r="L497" s="31"/>
      <c r="M497" s="5"/>
      <c r="N497" s="5"/>
    </row>
    <row r="498">
      <c r="A498" s="5"/>
      <c r="B498" s="5"/>
      <c r="C498" s="5"/>
      <c r="D498" s="5"/>
      <c r="E498" s="3"/>
      <c r="F498" s="5"/>
      <c r="G498" s="31"/>
      <c r="H498" s="5"/>
      <c r="I498" s="5"/>
      <c r="J498" s="5"/>
      <c r="K498" s="5"/>
      <c r="L498" s="31"/>
      <c r="M498" s="5"/>
      <c r="N498" s="5"/>
    </row>
    <row r="499">
      <c r="A499" s="5"/>
      <c r="B499" s="5"/>
      <c r="C499" s="5"/>
      <c r="D499" s="5"/>
      <c r="E499" s="3"/>
      <c r="F499" s="5"/>
      <c r="G499" s="31"/>
      <c r="H499" s="5"/>
      <c r="I499" s="5"/>
      <c r="J499" s="5"/>
      <c r="K499" s="5"/>
      <c r="L499" s="31"/>
      <c r="M499" s="5"/>
      <c r="N499" s="5"/>
    </row>
    <row r="500">
      <c r="A500" s="5"/>
      <c r="B500" s="5"/>
      <c r="C500" s="5"/>
      <c r="D500" s="5"/>
      <c r="E500" s="3"/>
      <c r="F500" s="5"/>
      <c r="G500" s="31"/>
      <c r="H500" s="5"/>
      <c r="I500" s="5"/>
      <c r="J500" s="5"/>
      <c r="K500" s="5"/>
      <c r="L500" s="31"/>
      <c r="M500" s="5"/>
      <c r="N500" s="5"/>
    </row>
    <row r="501">
      <c r="G501" s="32"/>
    </row>
    <row r="502">
      <c r="G502" s="32"/>
    </row>
    <row r="503">
      <c r="G503" s="32"/>
    </row>
    <row r="504">
      <c r="G504" s="32"/>
    </row>
    <row r="505">
      <c r="G505" s="32"/>
    </row>
    <row r="506">
      <c r="G506" s="32"/>
    </row>
    <row r="507">
      <c r="G507" s="32"/>
    </row>
    <row r="508">
      <c r="G508" s="32"/>
    </row>
    <row r="509">
      <c r="G509" s="32"/>
    </row>
    <row r="510">
      <c r="G510" s="32"/>
    </row>
    <row r="511">
      <c r="G511" s="32"/>
    </row>
    <row r="512">
      <c r="G512" s="32"/>
    </row>
    <row r="513">
      <c r="G513" s="32"/>
    </row>
    <row r="514">
      <c r="G514" s="32"/>
    </row>
    <row r="515">
      <c r="G515" s="32"/>
    </row>
    <row r="516">
      <c r="G516" s="32"/>
    </row>
    <row r="517">
      <c r="G517" s="32"/>
    </row>
    <row r="518">
      <c r="G518" s="32"/>
    </row>
    <row r="519">
      <c r="G519" s="32"/>
    </row>
    <row r="520">
      <c r="G520" s="32"/>
    </row>
    <row r="521">
      <c r="G521" s="32"/>
    </row>
    <row r="522">
      <c r="G522" s="32"/>
    </row>
    <row r="523">
      <c r="G523" s="32"/>
    </row>
    <row r="524">
      <c r="G524" s="32"/>
    </row>
    <row r="525">
      <c r="G525" s="32"/>
    </row>
    <row r="526">
      <c r="G526" s="32"/>
    </row>
    <row r="527">
      <c r="G527" s="32"/>
    </row>
    <row r="528">
      <c r="G528" s="32"/>
    </row>
    <row r="529">
      <c r="G529" s="32"/>
    </row>
    <row r="530">
      <c r="G530" s="32"/>
    </row>
    <row r="531">
      <c r="G531" s="32"/>
    </row>
    <row r="532">
      <c r="G532" s="32"/>
    </row>
    <row r="533">
      <c r="G533" s="32"/>
    </row>
    <row r="534">
      <c r="G534" s="32"/>
    </row>
    <row r="535">
      <c r="G535" s="32"/>
    </row>
    <row r="536">
      <c r="G536" s="32"/>
    </row>
    <row r="537">
      <c r="G537" s="32"/>
    </row>
    <row r="538">
      <c r="G538" s="32"/>
    </row>
    <row r="539">
      <c r="G539" s="32"/>
    </row>
    <row r="540">
      <c r="G540" s="32"/>
    </row>
    <row r="541">
      <c r="G541" s="32"/>
    </row>
    <row r="542">
      <c r="G542" s="32"/>
    </row>
    <row r="543">
      <c r="G543" s="32"/>
    </row>
    <row r="544">
      <c r="G544" s="32"/>
    </row>
    <row r="545">
      <c r="G545" s="32"/>
    </row>
    <row r="546">
      <c r="G546" s="32"/>
    </row>
    <row r="547">
      <c r="G547" s="32"/>
    </row>
    <row r="548">
      <c r="G548" s="32"/>
    </row>
    <row r="549">
      <c r="G549" s="32"/>
    </row>
    <row r="550">
      <c r="G550" s="32"/>
    </row>
    <row r="551">
      <c r="G551" s="32"/>
    </row>
    <row r="552">
      <c r="G552" s="32"/>
    </row>
    <row r="553">
      <c r="G553" s="32"/>
    </row>
    <row r="554">
      <c r="G554" s="32"/>
    </row>
    <row r="555">
      <c r="G555" s="32"/>
    </row>
    <row r="556">
      <c r="G556" s="32"/>
    </row>
    <row r="557">
      <c r="G557" s="32"/>
    </row>
    <row r="558">
      <c r="G558" s="32"/>
    </row>
    <row r="559">
      <c r="G559" s="32"/>
    </row>
    <row r="560">
      <c r="G560" s="32"/>
    </row>
    <row r="561">
      <c r="G561" s="32"/>
    </row>
    <row r="562">
      <c r="G562" s="32"/>
    </row>
    <row r="563">
      <c r="G563" s="32"/>
    </row>
    <row r="564">
      <c r="G564" s="32"/>
    </row>
    <row r="565">
      <c r="G565" s="32"/>
    </row>
    <row r="566">
      <c r="G566" s="32"/>
    </row>
    <row r="567">
      <c r="G567" s="32"/>
    </row>
    <row r="568">
      <c r="G568" s="32"/>
    </row>
    <row r="569">
      <c r="G569" s="32"/>
    </row>
    <row r="570">
      <c r="G570" s="32"/>
    </row>
    <row r="571">
      <c r="G571" s="32"/>
    </row>
    <row r="572">
      <c r="G572" s="32"/>
    </row>
    <row r="573">
      <c r="G573" s="32"/>
    </row>
    <row r="574">
      <c r="G574" s="32"/>
    </row>
    <row r="575">
      <c r="G575" s="32"/>
    </row>
    <row r="576">
      <c r="G576" s="32"/>
    </row>
    <row r="577">
      <c r="G577" s="32"/>
    </row>
    <row r="578">
      <c r="G578" s="32"/>
    </row>
    <row r="579">
      <c r="G579" s="32"/>
    </row>
    <row r="580">
      <c r="G580" s="32"/>
    </row>
    <row r="581">
      <c r="G581" s="32"/>
    </row>
    <row r="582">
      <c r="G582" s="32"/>
    </row>
    <row r="583">
      <c r="G583" s="32"/>
    </row>
    <row r="584">
      <c r="G584" s="32"/>
    </row>
    <row r="585">
      <c r="G585" s="32"/>
    </row>
    <row r="586">
      <c r="G586" s="32"/>
    </row>
    <row r="587">
      <c r="G587" s="32"/>
    </row>
    <row r="588">
      <c r="G588" s="32"/>
    </row>
    <row r="589">
      <c r="G589" s="32"/>
    </row>
    <row r="590">
      <c r="G590" s="32"/>
    </row>
    <row r="591">
      <c r="G591" s="32"/>
    </row>
    <row r="592">
      <c r="G592" s="32"/>
    </row>
    <row r="593">
      <c r="G593" s="32"/>
    </row>
    <row r="594">
      <c r="G594" s="32"/>
    </row>
    <row r="595">
      <c r="G595" s="32"/>
    </row>
    <row r="596">
      <c r="G596" s="32"/>
    </row>
    <row r="597">
      <c r="G597" s="32"/>
    </row>
    <row r="598">
      <c r="G598" s="32"/>
    </row>
    <row r="599">
      <c r="G599" s="32"/>
    </row>
    <row r="600">
      <c r="G600" s="32"/>
    </row>
    <row r="601">
      <c r="G601" s="32"/>
    </row>
    <row r="602">
      <c r="G602" s="32"/>
    </row>
    <row r="603">
      <c r="G603" s="32"/>
    </row>
    <row r="604">
      <c r="G604" s="32"/>
    </row>
    <row r="605">
      <c r="G605" s="32"/>
    </row>
    <row r="606">
      <c r="G606" s="32"/>
    </row>
    <row r="607">
      <c r="G607" s="32"/>
    </row>
    <row r="608">
      <c r="G608" s="32"/>
    </row>
    <row r="609">
      <c r="G609" s="32"/>
    </row>
    <row r="610">
      <c r="G610" s="32"/>
    </row>
    <row r="611">
      <c r="G611" s="32"/>
    </row>
    <row r="612">
      <c r="G612" s="32"/>
    </row>
    <row r="613">
      <c r="G613" s="32"/>
    </row>
    <row r="614">
      <c r="G614" s="32"/>
    </row>
    <row r="615">
      <c r="G615" s="32"/>
    </row>
    <row r="616">
      <c r="G616" s="32"/>
    </row>
    <row r="617">
      <c r="G617" s="32"/>
    </row>
    <row r="618">
      <c r="G618" s="32"/>
    </row>
    <row r="619">
      <c r="G619" s="32"/>
    </row>
    <row r="620">
      <c r="G620" s="32"/>
    </row>
    <row r="621">
      <c r="G621" s="32"/>
    </row>
    <row r="622">
      <c r="G622" s="32"/>
    </row>
    <row r="623">
      <c r="G623" s="32"/>
    </row>
    <row r="624">
      <c r="G624" s="32"/>
    </row>
    <row r="625">
      <c r="G625" s="32"/>
    </row>
    <row r="626">
      <c r="G626" s="32"/>
    </row>
    <row r="627">
      <c r="G627" s="32"/>
    </row>
    <row r="628">
      <c r="G628" s="32"/>
    </row>
    <row r="629">
      <c r="G629" s="32"/>
    </row>
    <row r="630">
      <c r="G630" s="32"/>
    </row>
    <row r="631">
      <c r="G631" s="32"/>
    </row>
    <row r="632">
      <c r="G632" s="32"/>
    </row>
    <row r="633">
      <c r="G633" s="32"/>
    </row>
    <row r="634">
      <c r="G634" s="32"/>
    </row>
    <row r="635">
      <c r="G635" s="32"/>
    </row>
    <row r="636">
      <c r="G636" s="32"/>
    </row>
    <row r="637">
      <c r="G637" s="32"/>
    </row>
    <row r="638">
      <c r="G638" s="32"/>
    </row>
    <row r="639">
      <c r="G639" s="32"/>
    </row>
    <row r="640">
      <c r="G640" s="32"/>
    </row>
    <row r="641">
      <c r="G641" s="32"/>
    </row>
    <row r="642">
      <c r="G642" s="32"/>
    </row>
    <row r="643">
      <c r="G643" s="32"/>
    </row>
    <row r="644">
      <c r="G644" s="32"/>
    </row>
    <row r="645">
      <c r="G645" s="32"/>
    </row>
    <row r="646">
      <c r="G646" s="32"/>
    </row>
    <row r="647">
      <c r="G647" s="32"/>
    </row>
    <row r="648">
      <c r="G648" s="32"/>
    </row>
    <row r="649">
      <c r="G649" s="32"/>
    </row>
    <row r="650">
      <c r="G650" s="32"/>
    </row>
    <row r="651">
      <c r="G651" s="32"/>
    </row>
    <row r="652">
      <c r="G652" s="32"/>
    </row>
    <row r="653">
      <c r="G653" s="32"/>
    </row>
    <row r="654">
      <c r="G654" s="32"/>
    </row>
    <row r="655">
      <c r="G655" s="32"/>
    </row>
    <row r="656">
      <c r="G656" s="32"/>
    </row>
    <row r="657">
      <c r="G657" s="32"/>
    </row>
    <row r="658">
      <c r="G658" s="32"/>
    </row>
    <row r="659">
      <c r="G659" s="32"/>
    </row>
    <row r="660">
      <c r="G660" s="32"/>
    </row>
    <row r="661">
      <c r="G661" s="32"/>
    </row>
    <row r="662">
      <c r="G662" s="32"/>
    </row>
    <row r="663">
      <c r="G663" s="32"/>
    </row>
    <row r="664">
      <c r="G664" s="32"/>
    </row>
    <row r="665">
      <c r="G665" s="32"/>
    </row>
    <row r="666">
      <c r="G666" s="32"/>
    </row>
    <row r="667">
      <c r="G667" s="32"/>
    </row>
    <row r="668">
      <c r="G668" s="32"/>
    </row>
    <row r="669">
      <c r="G669" s="32"/>
    </row>
    <row r="670">
      <c r="G670" s="32"/>
    </row>
    <row r="671">
      <c r="G671" s="32"/>
    </row>
    <row r="672">
      <c r="G672" s="32"/>
    </row>
    <row r="673">
      <c r="G673" s="32"/>
    </row>
    <row r="674">
      <c r="G674" s="32"/>
    </row>
    <row r="675">
      <c r="G675" s="32"/>
    </row>
    <row r="676">
      <c r="G676" s="32"/>
    </row>
    <row r="677">
      <c r="G677" s="32"/>
    </row>
    <row r="678">
      <c r="G678" s="32"/>
    </row>
    <row r="679">
      <c r="G679" s="32"/>
    </row>
    <row r="680">
      <c r="G680" s="32"/>
    </row>
    <row r="681">
      <c r="G681" s="32"/>
    </row>
    <row r="682">
      <c r="G682" s="32"/>
    </row>
    <row r="683">
      <c r="G683" s="32"/>
    </row>
    <row r="684">
      <c r="G684" s="32"/>
    </row>
    <row r="685">
      <c r="G685" s="32"/>
    </row>
    <row r="686">
      <c r="G686" s="32"/>
    </row>
    <row r="687">
      <c r="G687" s="32"/>
    </row>
    <row r="688">
      <c r="G688" s="32"/>
    </row>
    <row r="689">
      <c r="G689" s="32"/>
    </row>
    <row r="690">
      <c r="G690" s="32"/>
    </row>
    <row r="691">
      <c r="G691" s="32"/>
    </row>
    <row r="692">
      <c r="G692" s="32"/>
    </row>
    <row r="693">
      <c r="G693" s="32"/>
    </row>
    <row r="694">
      <c r="G694" s="32"/>
    </row>
    <row r="695">
      <c r="G695" s="32"/>
    </row>
    <row r="696">
      <c r="G696" s="32"/>
    </row>
    <row r="697">
      <c r="G697" s="32"/>
    </row>
    <row r="698">
      <c r="G698" s="32"/>
    </row>
    <row r="699">
      <c r="G699" s="32"/>
    </row>
    <row r="700">
      <c r="G700" s="32"/>
    </row>
    <row r="701">
      <c r="G701" s="32"/>
    </row>
    <row r="702">
      <c r="G702" s="32"/>
    </row>
    <row r="703">
      <c r="G703" s="32"/>
    </row>
    <row r="704">
      <c r="G704" s="32"/>
    </row>
    <row r="705">
      <c r="G705" s="32"/>
    </row>
    <row r="706">
      <c r="G706" s="32"/>
    </row>
    <row r="707">
      <c r="G707" s="32"/>
    </row>
    <row r="708">
      <c r="G708" s="32"/>
    </row>
    <row r="709">
      <c r="G709" s="32"/>
    </row>
    <row r="710">
      <c r="G710" s="32"/>
    </row>
    <row r="711">
      <c r="G711" s="32"/>
    </row>
    <row r="712">
      <c r="G712" s="32"/>
    </row>
    <row r="713">
      <c r="G713" s="32"/>
    </row>
    <row r="714">
      <c r="G714" s="32"/>
    </row>
    <row r="715">
      <c r="G715" s="32"/>
    </row>
    <row r="716">
      <c r="G716" s="32"/>
    </row>
    <row r="717">
      <c r="G717" s="32"/>
    </row>
    <row r="718">
      <c r="G718" s="32"/>
    </row>
    <row r="719">
      <c r="G719" s="32"/>
    </row>
    <row r="720">
      <c r="G720" s="32"/>
    </row>
    <row r="721">
      <c r="G721" s="32"/>
    </row>
    <row r="722">
      <c r="G722" s="32"/>
    </row>
    <row r="723">
      <c r="G723" s="32"/>
    </row>
    <row r="724">
      <c r="G724" s="32"/>
    </row>
    <row r="725">
      <c r="G725" s="32"/>
    </row>
    <row r="726">
      <c r="G726" s="32"/>
    </row>
    <row r="727">
      <c r="G727" s="32"/>
    </row>
    <row r="728">
      <c r="G728" s="32"/>
    </row>
    <row r="729">
      <c r="G729" s="32"/>
    </row>
    <row r="730">
      <c r="G730" s="32"/>
    </row>
    <row r="731">
      <c r="G731" s="32"/>
    </row>
    <row r="732">
      <c r="G732" s="32"/>
    </row>
    <row r="733">
      <c r="G733" s="32"/>
    </row>
    <row r="734">
      <c r="G734" s="32"/>
    </row>
    <row r="735">
      <c r="G735" s="32"/>
    </row>
    <row r="736">
      <c r="G736" s="32"/>
    </row>
    <row r="737">
      <c r="G737" s="32"/>
    </row>
    <row r="738">
      <c r="G738" s="32"/>
    </row>
    <row r="739">
      <c r="G739" s="32"/>
    </row>
    <row r="740">
      <c r="G740" s="32"/>
    </row>
    <row r="741">
      <c r="G741" s="32"/>
    </row>
    <row r="742">
      <c r="G742" s="32"/>
    </row>
    <row r="743">
      <c r="G743" s="32"/>
    </row>
    <row r="744">
      <c r="G744" s="32"/>
    </row>
    <row r="745">
      <c r="G745" s="32"/>
    </row>
    <row r="746">
      <c r="G746" s="32"/>
    </row>
    <row r="747">
      <c r="G747" s="32"/>
    </row>
    <row r="748">
      <c r="G748" s="32"/>
    </row>
    <row r="749">
      <c r="G749" s="32"/>
    </row>
    <row r="750">
      <c r="G750" s="32"/>
    </row>
    <row r="751">
      <c r="G751" s="32"/>
    </row>
    <row r="752">
      <c r="G752" s="32"/>
    </row>
    <row r="753">
      <c r="G753" s="32"/>
    </row>
    <row r="754">
      <c r="G754" s="32"/>
    </row>
    <row r="755">
      <c r="G755" s="32"/>
    </row>
    <row r="756">
      <c r="G756" s="32"/>
    </row>
    <row r="757">
      <c r="G757" s="32"/>
    </row>
    <row r="758">
      <c r="G758" s="32"/>
    </row>
    <row r="759">
      <c r="G759" s="32"/>
    </row>
    <row r="760">
      <c r="G760" s="32"/>
    </row>
    <row r="761">
      <c r="G761" s="32"/>
    </row>
    <row r="762">
      <c r="G762" s="32"/>
    </row>
    <row r="763">
      <c r="G763" s="32"/>
    </row>
    <row r="764">
      <c r="G764" s="32"/>
    </row>
    <row r="765">
      <c r="G765" s="32"/>
    </row>
    <row r="766">
      <c r="G766" s="32"/>
    </row>
    <row r="767">
      <c r="G767" s="32"/>
    </row>
    <row r="768">
      <c r="G768" s="32"/>
    </row>
    <row r="769">
      <c r="G769" s="32"/>
    </row>
    <row r="770">
      <c r="G770" s="32"/>
    </row>
    <row r="771">
      <c r="G771" s="32"/>
    </row>
    <row r="772">
      <c r="G772" s="32"/>
    </row>
    <row r="773">
      <c r="G773" s="32"/>
    </row>
    <row r="774">
      <c r="G774" s="32"/>
    </row>
    <row r="775">
      <c r="G775" s="32"/>
    </row>
    <row r="776">
      <c r="G776" s="32"/>
    </row>
    <row r="777">
      <c r="G777" s="32"/>
    </row>
    <row r="778">
      <c r="G778" s="32"/>
    </row>
    <row r="779">
      <c r="G779" s="32"/>
    </row>
    <row r="780">
      <c r="G780" s="32"/>
    </row>
    <row r="781">
      <c r="G781" s="32"/>
    </row>
    <row r="782">
      <c r="G782" s="32"/>
    </row>
    <row r="783">
      <c r="G783" s="32"/>
    </row>
    <row r="784">
      <c r="G784" s="32"/>
    </row>
    <row r="785">
      <c r="G785" s="32"/>
    </row>
    <row r="786">
      <c r="G786" s="32"/>
    </row>
    <row r="787">
      <c r="G787" s="32"/>
    </row>
    <row r="788">
      <c r="G788" s="32"/>
    </row>
    <row r="789">
      <c r="G789" s="32"/>
    </row>
    <row r="790">
      <c r="G790" s="32"/>
    </row>
    <row r="791">
      <c r="G791" s="32"/>
    </row>
    <row r="792">
      <c r="G792" s="32"/>
    </row>
    <row r="793">
      <c r="G793" s="32"/>
    </row>
    <row r="794">
      <c r="G794" s="32"/>
    </row>
    <row r="795">
      <c r="G795" s="32"/>
    </row>
    <row r="796">
      <c r="G796" s="32"/>
    </row>
    <row r="797">
      <c r="G797" s="32"/>
    </row>
    <row r="798">
      <c r="G798" s="32"/>
    </row>
    <row r="799">
      <c r="G799" s="32"/>
    </row>
    <row r="800">
      <c r="G800" s="32"/>
    </row>
    <row r="801">
      <c r="G801" s="32"/>
    </row>
    <row r="802">
      <c r="G802" s="32"/>
    </row>
    <row r="803">
      <c r="G803" s="32"/>
    </row>
    <row r="804">
      <c r="G804" s="32"/>
    </row>
    <row r="805">
      <c r="G805" s="32"/>
    </row>
    <row r="806">
      <c r="G806" s="32"/>
    </row>
    <row r="807">
      <c r="G807" s="32"/>
    </row>
    <row r="808">
      <c r="G808" s="32"/>
    </row>
    <row r="809">
      <c r="G809" s="32"/>
    </row>
    <row r="810">
      <c r="G810" s="32"/>
    </row>
    <row r="811">
      <c r="G811" s="32"/>
    </row>
    <row r="812">
      <c r="G812" s="32"/>
    </row>
    <row r="813">
      <c r="G813" s="32"/>
    </row>
    <row r="814">
      <c r="G814" s="32"/>
    </row>
    <row r="815">
      <c r="G815" s="32"/>
    </row>
    <row r="816">
      <c r="G816" s="32"/>
    </row>
    <row r="817">
      <c r="G817" s="32"/>
    </row>
    <row r="818">
      <c r="G818" s="32"/>
    </row>
    <row r="819">
      <c r="G819" s="32"/>
    </row>
    <row r="820">
      <c r="G820" s="32"/>
    </row>
    <row r="821">
      <c r="G821" s="32"/>
    </row>
    <row r="822">
      <c r="G822" s="32"/>
    </row>
    <row r="823">
      <c r="G823" s="32"/>
    </row>
    <row r="824">
      <c r="G824" s="32"/>
    </row>
    <row r="825">
      <c r="G825" s="32"/>
    </row>
    <row r="826">
      <c r="G826" s="32"/>
    </row>
    <row r="827">
      <c r="G827" s="32"/>
    </row>
    <row r="828">
      <c r="G828" s="32"/>
    </row>
    <row r="829">
      <c r="G829" s="32"/>
    </row>
    <row r="830">
      <c r="G830" s="32"/>
    </row>
    <row r="831">
      <c r="G831" s="32"/>
    </row>
    <row r="832">
      <c r="G832" s="32"/>
    </row>
    <row r="833">
      <c r="G833" s="32"/>
    </row>
    <row r="834">
      <c r="G834" s="32"/>
    </row>
    <row r="835">
      <c r="G835" s="32"/>
    </row>
    <row r="836">
      <c r="G836" s="32"/>
    </row>
    <row r="837">
      <c r="G837" s="32"/>
    </row>
    <row r="838">
      <c r="G838" s="32"/>
    </row>
    <row r="839">
      <c r="G839" s="32"/>
    </row>
    <row r="840">
      <c r="G840" s="32"/>
    </row>
    <row r="841">
      <c r="G841" s="32"/>
    </row>
    <row r="842">
      <c r="G842" s="32"/>
    </row>
    <row r="843">
      <c r="G843" s="32"/>
    </row>
    <row r="844">
      <c r="G844" s="32"/>
    </row>
    <row r="845">
      <c r="G845" s="32"/>
    </row>
    <row r="846">
      <c r="G846" s="32"/>
    </row>
    <row r="847">
      <c r="G847" s="32"/>
    </row>
    <row r="848">
      <c r="G848" s="32"/>
    </row>
    <row r="849">
      <c r="G849" s="32"/>
    </row>
    <row r="850">
      <c r="G850" s="32"/>
    </row>
    <row r="851">
      <c r="G851" s="32"/>
    </row>
    <row r="852">
      <c r="G852" s="32"/>
    </row>
    <row r="853">
      <c r="G853" s="32"/>
    </row>
    <row r="854">
      <c r="G854" s="32"/>
    </row>
    <row r="855">
      <c r="G855" s="32"/>
    </row>
    <row r="856">
      <c r="G856" s="32"/>
    </row>
    <row r="857">
      <c r="G857" s="32"/>
    </row>
    <row r="858">
      <c r="G858" s="32"/>
    </row>
    <row r="859">
      <c r="G859" s="32"/>
    </row>
    <row r="860">
      <c r="G860" s="32"/>
    </row>
    <row r="861">
      <c r="G861" s="32"/>
    </row>
    <row r="862">
      <c r="G862" s="32"/>
    </row>
    <row r="863">
      <c r="G863" s="32"/>
    </row>
    <row r="864">
      <c r="G864" s="32"/>
    </row>
    <row r="865">
      <c r="G865" s="32"/>
    </row>
    <row r="866">
      <c r="G866" s="32"/>
    </row>
    <row r="867">
      <c r="G867" s="32"/>
    </row>
    <row r="868">
      <c r="G868" s="32"/>
    </row>
    <row r="869">
      <c r="G869" s="32"/>
    </row>
    <row r="870">
      <c r="G870" s="32"/>
    </row>
    <row r="871">
      <c r="G871" s="32"/>
    </row>
    <row r="872">
      <c r="G872" s="32"/>
    </row>
    <row r="873">
      <c r="G873" s="32"/>
    </row>
    <row r="874">
      <c r="G874" s="32"/>
    </row>
    <row r="875">
      <c r="G875" s="32"/>
    </row>
    <row r="876">
      <c r="G876" s="32"/>
    </row>
    <row r="877">
      <c r="G877" s="32"/>
    </row>
    <row r="878">
      <c r="G878" s="32"/>
    </row>
    <row r="879">
      <c r="G879" s="32"/>
    </row>
    <row r="880">
      <c r="G880" s="32"/>
    </row>
    <row r="881">
      <c r="G881" s="32"/>
    </row>
    <row r="882">
      <c r="G882" s="32"/>
    </row>
    <row r="883">
      <c r="G883" s="32"/>
    </row>
    <row r="884">
      <c r="G884" s="32"/>
    </row>
    <row r="885">
      <c r="G885" s="32"/>
    </row>
    <row r="886">
      <c r="G886" s="32"/>
    </row>
    <row r="887">
      <c r="G887" s="32"/>
    </row>
    <row r="888">
      <c r="G888" s="32"/>
    </row>
    <row r="889">
      <c r="G889" s="32"/>
    </row>
    <row r="890">
      <c r="G890" s="32"/>
    </row>
    <row r="891">
      <c r="G891" s="32"/>
    </row>
    <row r="892">
      <c r="G892" s="32"/>
    </row>
    <row r="893">
      <c r="G893" s="32"/>
    </row>
    <row r="894">
      <c r="G894" s="32"/>
    </row>
    <row r="895">
      <c r="G895" s="32"/>
    </row>
    <row r="896">
      <c r="G896" s="32"/>
    </row>
    <row r="897">
      <c r="G897" s="32"/>
    </row>
    <row r="898">
      <c r="G898" s="32"/>
    </row>
    <row r="899">
      <c r="G899" s="32"/>
    </row>
    <row r="900">
      <c r="G900" s="32"/>
    </row>
    <row r="901">
      <c r="G901" s="32"/>
    </row>
    <row r="902">
      <c r="G902" s="32"/>
    </row>
    <row r="903">
      <c r="G903" s="32"/>
    </row>
    <row r="904">
      <c r="G904" s="32"/>
    </row>
    <row r="905">
      <c r="G905" s="32"/>
    </row>
    <row r="906">
      <c r="G906" s="32"/>
    </row>
    <row r="907">
      <c r="G907" s="32"/>
    </row>
    <row r="908">
      <c r="G908" s="32"/>
    </row>
    <row r="909">
      <c r="G909" s="32"/>
    </row>
    <row r="910">
      <c r="G910" s="32"/>
    </row>
    <row r="911">
      <c r="G911" s="32"/>
    </row>
    <row r="912">
      <c r="G912" s="32"/>
    </row>
    <row r="913">
      <c r="G913" s="32"/>
    </row>
    <row r="914">
      <c r="G914" s="32"/>
    </row>
    <row r="915">
      <c r="G915" s="32"/>
    </row>
    <row r="916">
      <c r="G916" s="32"/>
    </row>
    <row r="917">
      <c r="G917" s="32"/>
    </row>
    <row r="918">
      <c r="G918" s="32"/>
    </row>
    <row r="919">
      <c r="G919" s="32"/>
    </row>
    <row r="920">
      <c r="G920" s="32"/>
    </row>
    <row r="921">
      <c r="G921" s="32"/>
    </row>
    <row r="922">
      <c r="G922" s="32"/>
    </row>
    <row r="923">
      <c r="G923" s="32"/>
    </row>
    <row r="924">
      <c r="G924" s="32"/>
    </row>
    <row r="925">
      <c r="G925" s="32"/>
    </row>
    <row r="926">
      <c r="G926" s="32"/>
    </row>
    <row r="927">
      <c r="G927" s="32"/>
    </row>
    <row r="928">
      <c r="G928" s="32"/>
    </row>
    <row r="929">
      <c r="G929" s="32"/>
    </row>
    <row r="930">
      <c r="G930" s="32"/>
    </row>
    <row r="931">
      <c r="G931" s="32"/>
    </row>
    <row r="932">
      <c r="G932" s="32"/>
    </row>
    <row r="933">
      <c r="G933" s="32"/>
    </row>
    <row r="934">
      <c r="G934" s="32"/>
    </row>
    <row r="935">
      <c r="G935" s="32"/>
    </row>
    <row r="936">
      <c r="G936" s="32"/>
    </row>
    <row r="937">
      <c r="G937" s="32"/>
    </row>
    <row r="938">
      <c r="G938" s="32"/>
    </row>
    <row r="939">
      <c r="G939" s="32"/>
    </row>
    <row r="940">
      <c r="G940" s="32"/>
    </row>
    <row r="941">
      <c r="G941" s="32"/>
    </row>
    <row r="942">
      <c r="G942" s="32"/>
    </row>
    <row r="943">
      <c r="G943" s="32"/>
    </row>
    <row r="944">
      <c r="G944" s="32"/>
    </row>
    <row r="945">
      <c r="G945" s="32"/>
    </row>
    <row r="946">
      <c r="G946" s="32"/>
    </row>
    <row r="947">
      <c r="G947" s="32"/>
    </row>
    <row r="948">
      <c r="G948" s="32"/>
    </row>
    <row r="949">
      <c r="G949" s="32"/>
    </row>
    <row r="950">
      <c r="G950" s="32"/>
    </row>
    <row r="951">
      <c r="G951" s="32"/>
    </row>
    <row r="952">
      <c r="G952" s="32"/>
    </row>
    <row r="953">
      <c r="G953" s="32"/>
    </row>
    <row r="954">
      <c r="G954" s="32"/>
    </row>
    <row r="955">
      <c r="G955" s="32"/>
    </row>
    <row r="956">
      <c r="G956" s="32"/>
    </row>
    <row r="957">
      <c r="G957" s="32"/>
    </row>
    <row r="958">
      <c r="G958" s="32"/>
    </row>
    <row r="959">
      <c r="G959" s="32"/>
    </row>
    <row r="960">
      <c r="G960" s="32"/>
    </row>
    <row r="961">
      <c r="G961" s="32"/>
    </row>
    <row r="962">
      <c r="G962" s="32"/>
    </row>
    <row r="963">
      <c r="G963" s="32"/>
    </row>
    <row r="964">
      <c r="G964" s="32"/>
    </row>
    <row r="965">
      <c r="G965" s="32"/>
    </row>
    <row r="966">
      <c r="G966" s="32"/>
    </row>
    <row r="967">
      <c r="G967" s="32"/>
    </row>
    <row r="968">
      <c r="G968" s="32"/>
    </row>
    <row r="969">
      <c r="G969" s="32"/>
    </row>
    <row r="970">
      <c r="G970" s="32"/>
    </row>
    <row r="971">
      <c r="G971" s="32"/>
    </row>
    <row r="972">
      <c r="G972" s="32"/>
    </row>
    <row r="973">
      <c r="G973" s="32"/>
    </row>
    <row r="974">
      <c r="G974" s="32"/>
    </row>
    <row r="975">
      <c r="G975" s="32"/>
    </row>
    <row r="976">
      <c r="G976" s="32"/>
    </row>
    <row r="977">
      <c r="G977" s="32"/>
    </row>
    <row r="978">
      <c r="G978" s="32"/>
    </row>
    <row r="979">
      <c r="G979" s="32"/>
    </row>
    <row r="980">
      <c r="G980" s="32"/>
    </row>
    <row r="981">
      <c r="G981" s="32"/>
    </row>
    <row r="982">
      <c r="G982" s="32"/>
    </row>
    <row r="983">
      <c r="G983" s="32"/>
    </row>
    <row r="984">
      <c r="G984" s="32"/>
    </row>
    <row r="985">
      <c r="G985" s="32"/>
    </row>
    <row r="986">
      <c r="G986" s="32"/>
    </row>
    <row r="987">
      <c r="G987" s="32"/>
    </row>
    <row r="988">
      <c r="G988" s="32"/>
    </row>
    <row r="989">
      <c r="G989" s="32"/>
    </row>
    <row r="990">
      <c r="G990" s="32"/>
    </row>
    <row r="991">
      <c r="G991" s="32"/>
    </row>
    <row r="992">
      <c r="G992" s="32"/>
    </row>
    <row r="993">
      <c r="G993" s="32"/>
    </row>
    <row r="994">
      <c r="G994" s="32"/>
    </row>
    <row r="995">
      <c r="G995" s="32"/>
    </row>
    <row r="996">
      <c r="G996" s="32"/>
    </row>
    <row r="997">
      <c r="G997" s="32"/>
    </row>
    <row r="998">
      <c r="G998" s="32"/>
    </row>
    <row r="999">
      <c r="G999" s="32"/>
    </row>
    <row r="1000">
      <c r="G1000" s="32"/>
    </row>
    <row r="1001">
      <c r="G1001" s="32"/>
    </row>
    <row r="1002">
      <c r="G1002" s="32"/>
    </row>
  </sheetData>
  <mergeCells count="12">
    <mergeCell ref="C2:D2"/>
    <mergeCell ref="E2:F2"/>
    <mergeCell ref="J1:K1"/>
    <mergeCell ref="J2:K2"/>
    <mergeCell ref="A1:B1"/>
    <mergeCell ref="C1:D1"/>
    <mergeCell ref="E1:F1"/>
    <mergeCell ref="G1:H1"/>
    <mergeCell ref="L1:M1"/>
    <mergeCell ref="A2:B2"/>
    <mergeCell ref="G2:H2"/>
    <mergeCell ref="L2:M2"/>
  </mergeCells>
  <conditionalFormatting sqref="G2:I2 L2:N2 N4:N1000 O4:O16 Q4:Q16">
    <cfRule type="cellIs" dxfId="0" priority="1" operator="greaterThan">
      <formula>0</formula>
    </cfRule>
  </conditionalFormatting>
  <conditionalFormatting sqref="G2:I2 L2:N2 N4:N1000 O4:O16 Q4:Q16">
    <cfRule type="cellIs" dxfId="1" priority="2" operator="lessThan">
      <formula>0</formula>
    </cfRule>
  </conditionalFormatting>
  <conditionalFormatting sqref="G2:I2 L2:N2 N4:N1000 O4:O16 Q4:Q16">
    <cfRule type="cellIs" dxfId="2" priority="3" operator="equal">
      <formula>0</formula>
    </cfRule>
  </conditionalFormatting>
  <dataValidations>
    <dataValidation type="list" allowBlank="1" sqref="D4:D500">
      <formula1>Parametres!$A$2:$A$50</formula1>
    </dataValidation>
    <dataValidation type="list" allowBlank="1" sqref="E4:E500">
      <formula1>Parametres!$G$2:$G$24</formula1>
    </dataValidation>
    <dataValidation type="list" allowBlank="1" sqref="F4:F500">
      <formula1>Parametres!$E$2:$E$1000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33" t="s">
        <v>9</v>
      </c>
      <c r="B1" s="34">
        <v>2021.0</v>
      </c>
      <c r="C1" s="34">
        <v>2022.0</v>
      </c>
      <c r="D1" s="34">
        <v>2023.0</v>
      </c>
      <c r="E1" s="9"/>
      <c r="F1" s="9"/>
      <c r="G1" s="9"/>
      <c r="H1" s="9"/>
      <c r="I1" s="9"/>
      <c r="J1" s="9"/>
      <c r="K1" s="9"/>
    </row>
    <row r="2">
      <c r="A2" s="35" t="s">
        <v>89</v>
      </c>
      <c r="B2" s="36">
        <f>SUMIFS(Activite!$I:$I,Activite!$J:$J,"1",Activite!$K:$K,$B$1,Activite!$E:$E,"Dividende")</f>
        <v>0</v>
      </c>
      <c r="C2" s="36">
        <f>SUMIFS(Activite!$I:$I,Activite!$J:$J,"1",Activite!$K:$K,$C$1,Activite!$E:$E,"Dividende")</f>
        <v>0</v>
      </c>
      <c r="D2" s="36">
        <f>SUMIFS(Activite!$I:$I,Activite!$J:$J,"1",Activite!$K:$K,$D$1,Activite!$E:$E,"Dividende")</f>
        <v>0</v>
      </c>
      <c r="E2" s="9"/>
      <c r="F2" s="9"/>
      <c r="G2" s="9"/>
      <c r="H2" s="9"/>
      <c r="I2" s="9"/>
      <c r="J2" s="9"/>
      <c r="K2" s="9"/>
    </row>
    <row r="3">
      <c r="A3" s="37" t="s">
        <v>90</v>
      </c>
      <c r="B3" s="38">
        <f>SUMIFS(Activite!$I:$I,Activite!$J:$J,"2",Activite!$K:$K,$B$1,Activite!$E:$E,"Dividende")</f>
        <v>0</v>
      </c>
      <c r="C3" s="38">
        <f>SUMIFS(Activite!$I:$I,Activite!$J:$J,"2",Activite!$K:$K,$C$1,Activite!$E:$E,"Dividende")</f>
        <v>0</v>
      </c>
      <c r="D3" s="38">
        <f>SUMIFS(Activite!$I:$I,Activite!$J:$J,"2",Activite!$K:$K,$D$1,Activite!$E:$E,"Dividende")</f>
        <v>0</v>
      </c>
      <c r="E3" s="9"/>
      <c r="F3" s="9"/>
      <c r="G3" s="9"/>
      <c r="H3" s="9"/>
      <c r="I3" s="9"/>
      <c r="J3" s="9"/>
      <c r="K3" s="9"/>
    </row>
    <row r="4">
      <c r="A4" s="35" t="s">
        <v>91</v>
      </c>
      <c r="B4" s="36">
        <f>SUMIFS(Activite!$I:$I,Activite!$J:$J,"3",Activite!$K:$K,$B$1,Activite!$E:$E,"Dividende")</f>
        <v>21.8</v>
      </c>
      <c r="C4" s="36">
        <f>SUMIFS(Activite!$I:$I,Activite!$J:$J,"3",Activite!$K:$K,$C$1,Activite!$E:$E,"Dividende")</f>
        <v>0</v>
      </c>
      <c r="D4" s="36">
        <f>SUMIFS(Activite!$I:$I,Activite!$J:$J,"3",Activite!$K:$K,$D$1,Activite!$E:$E,"Dividende")</f>
        <v>0</v>
      </c>
      <c r="E4" s="9"/>
      <c r="F4" s="9"/>
      <c r="G4" s="9"/>
      <c r="H4" s="9"/>
      <c r="I4" s="9"/>
      <c r="J4" s="9"/>
      <c r="K4" s="9"/>
    </row>
    <row r="5">
      <c r="A5" s="37" t="s">
        <v>92</v>
      </c>
      <c r="B5" s="38">
        <f>SUMIFS(Activite!$I:$I,Activite!$J:$J,"4",Activite!$K:$K,$B$1,Activite!$E:$E,"Dividende")</f>
        <v>2.6</v>
      </c>
      <c r="C5" s="38">
        <f>SUMIFS(Activite!$I:$I,Activite!$J:$J,"4",Activite!$K:$K,$C$1,Activite!$E:$E,"Dividende")</f>
        <v>0</v>
      </c>
      <c r="D5" s="38">
        <f>SUMIFS(Activite!$I:$I,Activite!$J:$J,"4",Activite!$K:$K,$D$1,Activite!$E:$E,"Dividende")</f>
        <v>0</v>
      </c>
      <c r="E5" s="9"/>
      <c r="F5" s="9"/>
      <c r="G5" s="9"/>
      <c r="H5" s="9"/>
      <c r="I5" s="9"/>
      <c r="J5" s="9"/>
      <c r="K5" s="9"/>
    </row>
    <row r="6">
      <c r="A6" s="35" t="s">
        <v>93</v>
      </c>
      <c r="B6" s="36">
        <f>SUMIFS(Activite!$I:$I,Activite!$J:$J,"5",Activite!$K:$K,$B$1,Activite!$E:$E,"Dividende")</f>
        <v>0</v>
      </c>
      <c r="C6" s="36">
        <f>SUMIFS(Activite!$I:$I,Activite!$J:$J,"5",Activite!$K:$K,$C$1,Activite!$E:$E,"Dividende")</f>
        <v>0</v>
      </c>
      <c r="D6" s="36">
        <f>SUMIFS(Activite!$I:$I,Activite!$J:$J,"5",Activite!$K:$K,$D$1,Activite!$E:$E,"Dividende")</f>
        <v>0</v>
      </c>
      <c r="E6" s="9"/>
      <c r="F6" s="9"/>
      <c r="G6" s="9"/>
      <c r="H6" s="9"/>
      <c r="I6" s="9"/>
      <c r="J6" s="9"/>
      <c r="K6" s="9"/>
    </row>
    <row r="7">
      <c r="A7" s="37" t="s">
        <v>94</v>
      </c>
      <c r="B7" s="38">
        <f>SUMIFS(Activite!$I:$I,Activite!$J:$J,"6",Activite!$K:$K,$B$1,Activite!$E:$E,"Dividende")</f>
        <v>89</v>
      </c>
      <c r="C7" s="38">
        <f>SUMIFS(Activite!$I:$I,Activite!$J:$J,"6",Activite!$K:$K,$C$1,Activite!$E:$E,"Dividende")</f>
        <v>0</v>
      </c>
      <c r="D7" s="38">
        <f>SUMIFS(Activite!$I:$I,Activite!$J:$J,"6",Activite!$K:$K,$D$1,Activite!$E:$E,"Dividende")</f>
        <v>0</v>
      </c>
      <c r="E7" s="9"/>
      <c r="F7" s="9"/>
      <c r="G7" s="9"/>
      <c r="H7" s="9"/>
      <c r="I7" s="9"/>
      <c r="J7" s="9"/>
      <c r="K7" s="9"/>
    </row>
    <row r="8">
      <c r="A8" s="35" t="s">
        <v>95</v>
      </c>
      <c r="B8" s="36">
        <f>SUMIFS(Activite!$I:$I,Activite!$J:$J,"7",Activite!$K:$K,$B$1,Activite!$E:$E,"Dividende")</f>
        <v>57.5</v>
      </c>
      <c r="C8" s="36">
        <f>SUMIFS(Activite!$I:$I,Activite!$J:$J,"7",Activite!$K:$K,$C$1,Activite!$E:$E,"Dividende")</f>
        <v>0</v>
      </c>
      <c r="D8" s="36">
        <f>SUMIFS(Activite!$I:$I,Activite!$J:$J,"7",Activite!$K:$K,$D$1,Activite!$E:$E,"Dividende")</f>
        <v>0</v>
      </c>
      <c r="E8" s="9"/>
      <c r="F8" s="9"/>
      <c r="G8" s="9"/>
      <c r="H8" s="9"/>
      <c r="I8" s="9"/>
      <c r="J8" s="9"/>
      <c r="K8" s="9"/>
    </row>
    <row r="9">
      <c r="A9" s="37" t="s">
        <v>96</v>
      </c>
      <c r="B9" s="38">
        <f>SUMIFS(Activite!$I:$I,Activite!$J:$J,"8",Activite!$K:$K,$B$1,Activite!$E:$E,"Dividende")</f>
        <v>0</v>
      </c>
      <c r="C9" s="38">
        <f>SUMIFS(Activite!$I:$I,Activite!$J:$J,"8",Activite!$K:$K,$C$1,Activite!$E:$E,"Dividende")</f>
        <v>0</v>
      </c>
      <c r="D9" s="38">
        <f>SUMIFS(Activite!$I:$I,Activite!$J:$J,"8",Activite!$K:$K,$D$1,Activite!$E:$E,"Dividende")</f>
        <v>0</v>
      </c>
      <c r="E9" s="9"/>
      <c r="F9" s="9"/>
      <c r="G9" s="9"/>
      <c r="H9" s="9"/>
      <c r="I9" s="9"/>
      <c r="J9" s="9"/>
      <c r="K9" s="9"/>
    </row>
    <row r="10">
      <c r="A10" s="35" t="s">
        <v>97</v>
      </c>
      <c r="B10" s="36">
        <f>SUMIFS(Activite!$I:$I,Activite!$J:$J,"9",Activite!$K:$K,$B$1,Activite!$E:$E,"Dividende")</f>
        <v>0</v>
      </c>
      <c r="C10" s="36">
        <f>SUMIFS(Activite!$I:$I,Activite!$J:$J,"9",Activite!$K:$K,$C$1,Activite!$E:$E,"Dividende")</f>
        <v>0</v>
      </c>
      <c r="D10" s="36">
        <f>SUMIFS(Activite!$I:$I,Activite!$J:$J,"9",Activite!$K:$K,$D$1,Activite!$E:$E,"Dividende")</f>
        <v>0</v>
      </c>
      <c r="E10" s="9"/>
      <c r="F10" s="9"/>
      <c r="G10" s="9"/>
      <c r="H10" s="9"/>
      <c r="I10" s="9"/>
      <c r="J10" s="9"/>
      <c r="K10" s="9"/>
    </row>
    <row r="11">
      <c r="A11" s="37" t="s">
        <v>98</v>
      </c>
      <c r="B11" s="38">
        <f>SUMIFS(Activite!$I:$I,Activite!$J:$J,"10",Activite!$K:$K,$B$1,Activite!$E:$E,"Dividende")</f>
        <v>0</v>
      </c>
      <c r="C11" s="38">
        <f>SUMIFS(Activite!$I:$I,Activite!$J:$J,"10",Activite!$K:$K,$C$1,Activite!$E:$E,"Dividende")</f>
        <v>0</v>
      </c>
      <c r="D11" s="38">
        <f>SUMIFS(Activite!$I:$I,Activite!$J:$J,"10",Activite!$K:$K,$D$1,Activite!$E:$E,"Dividende")</f>
        <v>0</v>
      </c>
      <c r="E11" s="9"/>
      <c r="F11" s="9"/>
      <c r="G11" s="9"/>
      <c r="H11" s="9"/>
      <c r="I11" s="9"/>
      <c r="J11" s="9"/>
      <c r="K11" s="9"/>
    </row>
    <row r="12">
      <c r="A12" s="35" t="s">
        <v>99</v>
      </c>
      <c r="B12" s="36">
        <f>SUMIFS(Activite!$I:$I,Activite!$J:$J,"11",Activite!$K:$K,$B$1,Activite!$E:$E,"Dividende")</f>
        <v>0</v>
      </c>
      <c r="C12" s="36">
        <f>SUMIFS(Activite!$I:$I,Activite!$J:$J,"11",Activite!$K:$K,$C$1,Activite!$E:$E,"Dividende")</f>
        <v>0</v>
      </c>
      <c r="D12" s="36">
        <f>SUMIFS(Activite!$I:$I,Activite!$J:$J,"11",Activite!$K:$K,$D$1,Activite!$E:$E,"Dividende")</f>
        <v>0</v>
      </c>
      <c r="E12" s="9"/>
      <c r="F12" s="9"/>
      <c r="G12" s="9"/>
      <c r="H12" s="9"/>
      <c r="I12" s="9"/>
      <c r="J12" s="9"/>
      <c r="K12" s="9"/>
    </row>
    <row r="13">
      <c r="A13" s="37" t="s">
        <v>100</v>
      </c>
      <c r="B13" s="38">
        <f>SUMIFS(Activite!$I:$I,Activite!$J:$J,"12",Activite!$K:$K,$B$1,Activite!$E:$E,"Dividende")</f>
        <v>0</v>
      </c>
      <c r="C13" s="38">
        <f>SUMIFS(Activite!$I:$I,Activite!$J:$J,"12",Activite!$K:$K,$C$1,Activite!$E:$E,"Dividende")</f>
        <v>0</v>
      </c>
      <c r="D13" s="38">
        <f>SUMIFS(Activite!$I:$I,Activite!$J:$J,"12",Activite!$K:$K,$D$1,Activite!$E:$E,"Dividende")</f>
        <v>0</v>
      </c>
      <c r="E13" s="9"/>
      <c r="F13" s="9"/>
      <c r="G13" s="9"/>
      <c r="H13" s="9"/>
      <c r="I13" s="9"/>
      <c r="J13" s="9"/>
      <c r="K13" s="9"/>
    </row>
    <row r="14">
      <c r="A14" s="39" t="s">
        <v>101</v>
      </c>
      <c r="B14" s="40">
        <f t="shared" ref="B14:D14" si="1">SUM(B2:B13)</f>
        <v>170.9</v>
      </c>
      <c r="C14" s="40">
        <f t="shared" si="1"/>
        <v>0</v>
      </c>
      <c r="D14" s="40">
        <f t="shared" si="1"/>
        <v>0</v>
      </c>
      <c r="E14" s="9"/>
      <c r="F14" s="9"/>
      <c r="G14" s="9"/>
      <c r="H14" s="9"/>
      <c r="I14" s="9"/>
      <c r="J14" s="9"/>
      <c r="K14" s="9"/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>
      <c r="A17" s="33" t="s">
        <v>102</v>
      </c>
      <c r="B17" s="34">
        <v>2021.0</v>
      </c>
      <c r="C17" s="34">
        <v>2022.0</v>
      </c>
      <c r="D17" s="34">
        <v>2023.0</v>
      </c>
      <c r="E17" s="9"/>
      <c r="F17" s="9"/>
      <c r="G17" s="9"/>
      <c r="H17" s="9"/>
      <c r="I17" s="9"/>
      <c r="J17" s="9"/>
      <c r="K17" s="9"/>
    </row>
    <row r="18">
      <c r="A18" s="9" t="str">
        <f>IFERROR(__xludf.DUMMYFUNCTION("unique(Portefeuille!A4:A1000)"),"TotalEnergie")</f>
        <v>TotalEnergie</v>
      </c>
      <c r="B18" s="41">
        <f>SUMIFS(Activite!$I:$I,Activite!$A:$A,$A18,Activite!$K:$K,$B$17,Activite!$E:$E,"Dividende")</f>
        <v>6.6</v>
      </c>
      <c r="C18" s="41">
        <f>SUMIFS(Activite!$I:$I,Activite!$A:$A,$A18,Activite!$K:$K,$C$17,Activite!$E:$E,"Dividende")</f>
        <v>0</v>
      </c>
      <c r="D18" s="41">
        <f>SUMIFS(Activite!$I:$I,Activite!$A:$A,$A18,Activite!$K:$K,$D$17,Activite!$E:$E,"Dividende")</f>
        <v>0</v>
      </c>
      <c r="E18" s="9"/>
      <c r="F18" s="9"/>
      <c r="G18" s="9"/>
      <c r="H18" s="9"/>
      <c r="I18" s="9"/>
      <c r="J18" s="9"/>
      <c r="K18" s="9"/>
    </row>
    <row r="19">
      <c r="A19" s="9" t="str">
        <f>IFERROR(__xludf.DUMMYFUNCTION("""COMPUTED_VALUE"""),"Air Liquide")</f>
        <v>Air Liquide</v>
      </c>
      <c r="B19" s="41">
        <f>SUMIFS(Activite!$I:$I,Activite!$A:$A,$A19,Activite!$K:$K,$B$17,Activite!$E:$E,"Dividende")</f>
        <v>0</v>
      </c>
      <c r="C19" s="41">
        <f>SUMIFS(Activite!$I:$I,Activite!$A:$A,$A19,Activite!$K:$K,$C$17,Activite!$E:$E,"Dividende")</f>
        <v>0</v>
      </c>
      <c r="D19" s="41">
        <f>SUMIFS(Activite!$I:$I,Activite!$A:$A,$A19,Activite!$K:$K,$D$17,Activite!$E:$E,"Dividende")</f>
        <v>0</v>
      </c>
      <c r="E19" s="9"/>
      <c r="F19" s="9"/>
      <c r="G19" s="9"/>
      <c r="H19" s="9"/>
      <c r="I19" s="9"/>
      <c r="J19" s="9"/>
      <c r="K19" s="9"/>
    </row>
    <row r="20">
      <c r="A20" s="9" t="str">
        <f>IFERROR(__xludf.DUMMYFUNCTION("""COMPUTED_VALUE"""),"Danone")</f>
        <v>Danone</v>
      </c>
      <c r="B20" s="41">
        <f>SUMIFS(Activite!$I:$I,Activite!$A:$A,$A20,Activite!$K:$K,$B$17,Activite!$E:$E,"Dividende")</f>
        <v>0</v>
      </c>
      <c r="C20" s="41">
        <f>SUMIFS(Activite!$I:$I,Activite!$A:$A,$A20,Activite!$K:$K,$C$17,Activite!$E:$E,"Dividende")</f>
        <v>0</v>
      </c>
      <c r="D20" s="41">
        <f>SUMIFS(Activite!$I:$I,Activite!$A:$A,$A20,Activite!$K:$K,$D$17,Activite!$E:$E,"Dividende")</f>
        <v>0</v>
      </c>
      <c r="E20" s="9"/>
      <c r="F20" s="9"/>
      <c r="G20" s="9"/>
      <c r="H20" s="9"/>
      <c r="I20" s="9"/>
      <c r="J20" s="9"/>
      <c r="K20" s="9"/>
    </row>
    <row r="21">
      <c r="A21" s="9" t="str">
        <f>IFERROR(__xludf.DUMMYFUNCTION("""COMPUTED_VALUE"""),"Vodafone")</f>
        <v>Vodafone</v>
      </c>
      <c r="B21" s="41">
        <f>SUMIFS(Activite!$I:$I,Activite!$A:$A,$A21,Activite!$K:$K,$B$17,Activite!$E:$E,"Dividende")</f>
        <v>0</v>
      </c>
      <c r="C21" s="41">
        <f>SUMIFS(Activite!$I:$I,Activite!$A:$A,$A21,Activite!$K:$K,$C$17,Activite!$E:$E,"Dividende")</f>
        <v>0</v>
      </c>
      <c r="D21" s="41">
        <f>SUMIFS(Activite!$I:$I,Activite!$A:$A,$A21,Activite!$K:$K,$D$17,Activite!$E:$E,"Dividende")</f>
        <v>0</v>
      </c>
      <c r="E21" s="9"/>
      <c r="F21" s="9"/>
      <c r="G21" s="9"/>
      <c r="H21" s="9"/>
      <c r="I21" s="9"/>
      <c r="J21" s="9"/>
      <c r="K21" s="9"/>
    </row>
    <row r="22">
      <c r="A22" s="9" t="str">
        <f>IFERROR(__xludf.DUMMYFUNCTION("""COMPUTED_VALUE"""),"Microsoft")</f>
        <v>Microsoft</v>
      </c>
      <c r="B22" s="41">
        <f>SUMIFS(Activite!$I:$I,Activite!$A:$A,$A22,Activite!$K:$K,$B$17,Activite!$E:$E,"Dividende")</f>
        <v>0</v>
      </c>
      <c r="C22" s="41">
        <f>SUMIFS(Activite!$I:$I,Activite!$A:$A,$A22,Activite!$K:$K,$C$17,Activite!$E:$E,"Dividende")</f>
        <v>0</v>
      </c>
      <c r="D22" s="41">
        <f>SUMIFS(Activite!$I:$I,Activite!$A:$A,$A22,Activite!$K:$K,$D$17,Activite!$E:$E,"Dividende")</f>
        <v>0</v>
      </c>
      <c r="E22" s="9"/>
      <c r="F22" s="9"/>
      <c r="G22" s="9"/>
      <c r="H22" s="9"/>
      <c r="I22" s="9"/>
      <c r="J22" s="9"/>
      <c r="K22" s="9"/>
    </row>
    <row r="23">
      <c r="A23" s="9" t="str">
        <f>IFERROR(__xludf.DUMMYFUNCTION("""COMPUTED_VALUE"""),"McDonald's")</f>
        <v>McDonald's</v>
      </c>
      <c r="B23" s="41">
        <f>SUMIFS(Activite!$I:$I,Activite!$A:$A,$A23,Activite!$K:$K,$B$17,Activite!$E:$E,"Dividende")</f>
        <v>43.6</v>
      </c>
      <c r="C23" s="41">
        <f>SUMIFS(Activite!$I:$I,Activite!$A:$A,$A23,Activite!$K:$K,$C$17,Activite!$E:$E,"Dividende")</f>
        <v>0</v>
      </c>
      <c r="D23" s="41">
        <f>SUMIFS(Activite!$I:$I,Activite!$A:$A,$A23,Activite!$K:$K,$D$17,Activite!$E:$E,"Dividende")</f>
        <v>0</v>
      </c>
      <c r="E23" s="9"/>
      <c r="F23" s="9"/>
      <c r="G23" s="9"/>
      <c r="H23" s="9"/>
      <c r="I23" s="9"/>
      <c r="J23" s="9"/>
      <c r="K23" s="9"/>
    </row>
    <row r="24">
      <c r="A24" s="9" t="str">
        <f>IFERROR(__xludf.DUMMYFUNCTION("""COMPUTED_VALUE"""),"BP")</f>
        <v>BP</v>
      </c>
      <c r="B24" s="41">
        <f>SUMIFS(Activite!$I:$I,Activite!$A:$A,$A24,Activite!$K:$K,$B$17,Activite!$E:$E,"Dividende")</f>
        <v>2.6</v>
      </c>
      <c r="C24" s="41">
        <f>SUMIFS(Activite!$I:$I,Activite!$A:$A,$A24,Activite!$K:$K,$C$17,Activite!$E:$E,"Dividende")</f>
        <v>0</v>
      </c>
      <c r="D24" s="41">
        <f>SUMIFS(Activite!$I:$I,Activite!$A:$A,$A24,Activite!$K:$K,$D$17,Activite!$E:$E,"Dividende")</f>
        <v>0</v>
      </c>
      <c r="E24" s="9"/>
      <c r="F24" s="9"/>
      <c r="G24" s="9"/>
      <c r="H24" s="9"/>
      <c r="I24" s="9"/>
      <c r="J24" s="9"/>
      <c r="K24" s="9"/>
    </row>
    <row r="25">
      <c r="A25" s="9" t="str">
        <f>IFERROR(__xludf.DUMMYFUNCTION("""COMPUTED_VALUE"""),"Allianz")</f>
        <v>Allianz</v>
      </c>
      <c r="B25" s="41">
        <f>SUMIFS(Activite!$I:$I,Activite!$A:$A,$A25,Activite!$K:$K,$B$17,Activite!$E:$E,"Dividende")</f>
        <v>67.2</v>
      </c>
      <c r="C25" s="41">
        <f>SUMIFS(Activite!$I:$I,Activite!$A:$A,$A25,Activite!$K:$K,$C$17,Activite!$E:$E,"Dividende")</f>
        <v>0</v>
      </c>
      <c r="D25" s="41">
        <f>SUMIFS(Activite!$I:$I,Activite!$A:$A,$A25,Activite!$K:$K,$D$17,Activite!$E:$E,"Dividende")</f>
        <v>0</v>
      </c>
      <c r="E25" s="9"/>
      <c r="F25" s="9"/>
      <c r="G25" s="9"/>
      <c r="H25" s="9"/>
      <c r="I25" s="9"/>
      <c r="J25" s="9"/>
      <c r="K25" s="9"/>
    </row>
    <row r="26">
      <c r="A26" s="9" t="str">
        <f>IFERROR(__xludf.DUMMYFUNCTION("""COMPUTED_VALUE"""),"Nestlé")</f>
        <v>Nestlé</v>
      </c>
      <c r="B26" s="41">
        <f>SUMIFS(Activite!$I:$I,Activite!$A:$A,$A26,Activite!$K:$K,$B$17,Activite!$E:$E,"Dividende")</f>
        <v>25.3</v>
      </c>
      <c r="C26" s="41">
        <f>SUMIFS(Activite!$I:$I,Activite!$A:$A,$A26,Activite!$K:$K,$C$17,Activite!$E:$E,"Dividende")</f>
        <v>0</v>
      </c>
      <c r="D26" s="41">
        <f>SUMIFS(Activite!$I:$I,Activite!$A:$A,$A26,Activite!$K:$K,$D$17,Activite!$E:$E,"Dividende")</f>
        <v>0</v>
      </c>
      <c r="E26" s="9"/>
      <c r="F26" s="9"/>
      <c r="G26" s="9"/>
      <c r="H26" s="9"/>
      <c r="I26" s="9"/>
      <c r="J26" s="9"/>
      <c r="K26" s="9"/>
    </row>
    <row r="27">
      <c r="A27" s="9" t="str">
        <f>IFERROR(__xludf.DUMMYFUNCTION("""COMPUTED_VALUE"""),"Lyxor PEA Monde")</f>
        <v>Lyxor PEA Monde</v>
      </c>
      <c r="B27" s="41">
        <f>SUMIFS(Activite!$I:$I,Activite!$A:$A,$A27,Activite!$K:$K,$B$17,Activite!$E:$E,"Dividende")</f>
        <v>0</v>
      </c>
      <c r="C27" s="41">
        <f>SUMIFS(Activite!$I:$I,Activite!$A:$A,$A27,Activite!$K:$K,$C$17,Activite!$E:$E,"Dividende")</f>
        <v>0</v>
      </c>
      <c r="D27" s="41">
        <f>SUMIFS(Activite!$I:$I,Activite!$A:$A,$A27,Activite!$K:$K,$D$17,Activite!$E:$E,"Dividende")</f>
        <v>0</v>
      </c>
      <c r="E27" s="9"/>
      <c r="F27" s="9"/>
      <c r="G27" s="9"/>
      <c r="H27" s="9"/>
      <c r="I27" s="9"/>
      <c r="J27" s="9"/>
      <c r="K27" s="9"/>
    </row>
    <row r="28">
      <c r="A28" s="9" t="str">
        <f>IFERROR(__xludf.DUMMYFUNCTION("""COMPUTED_VALUE"""),"Solana")</f>
        <v>Solana</v>
      </c>
      <c r="B28" s="41">
        <f>SUMIFS(Activite!$I:$I,Activite!$A:$A,$A28,Activite!$K:$K,$B$17,Activite!$E:$E,"Dividende")</f>
        <v>0</v>
      </c>
      <c r="C28" s="41">
        <f>SUMIFS(Activite!$I:$I,Activite!$A:$A,$A28,Activite!$K:$K,$C$17,Activite!$E:$E,"Dividende")</f>
        <v>0</v>
      </c>
      <c r="D28" s="41">
        <f>SUMIFS(Activite!$I:$I,Activite!$A:$A,$A28,Activite!$K:$K,$D$17,Activite!$E:$E,"Dividende")</f>
        <v>0</v>
      </c>
      <c r="E28" s="9"/>
      <c r="F28" s="9"/>
      <c r="G28" s="9"/>
      <c r="H28" s="9"/>
      <c r="I28" s="9"/>
      <c r="J28" s="9"/>
      <c r="K28" s="9"/>
    </row>
    <row r="29">
      <c r="A29" s="9" t="str">
        <f>IFERROR(__xludf.DUMMYFUNCTION("""COMPUTED_VALUE"""),"Toyota Motor")</f>
        <v>Toyota Motor</v>
      </c>
      <c r="B29" s="41">
        <f>SUMIFS(Activite!$I:$I,Activite!$A:$A,$A29,Activite!$K:$K,$B$17,Activite!$E:$E,"Dividende")</f>
        <v>0</v>
      </c>
      <c r="C29" s="41">
        <f>SUMIFS(Activite!$I:$I,Activite!$A:$A,$A29,Activite!$K:$K,$C$17,Activite!$E:$E,"Dividende")</f>
        <v>0</v>
      </c>
      <c r="D29" s="41">
        <f>SUMIFS(Activite!$I:$I,Activite!$A:$A,$A29,Activite!$K:$K,$D$17,Activite!$E:$E,"Dividende")</f>
        <v>0</v>
      </c>
      <c r="E29" s="9"/>
      <c r="F29" s="9"/>
      <c r="G29" s="9"/>
      <c r="H29" s="9"/>
      <c r="I29" s="9"/>
      <c r="J29" s="9"/>
      <c r="K29" s="9"/>
    </row>
    <row r="30">
      <c r="A30" s="9" t="str">
        <f>IFERROR(__xludf.DUMMYFUNCTION("""COMPUTED_VALUE"""),"Legrand")</f>
        <v>Legrand</v>
      </c>
      <c r="B30" s="41">
        <f>SUMIFS(Activite!$I:$I,Activite!$A:$A,$A30,Activite!$K:$K,$B$17,Activite!$E:$E,"Dividende")</f>
        <v>25.6</v>
      </c>
      <c r="C30" s="41">
        <f>SUMIFS(Activite!$I:$I,Activite!$A:$A,$A30,Activite!$K:$K,$C$17,Activite!$E:$E,"Dividende")</f>
        <v>0</v>
      </c>
      <c r="D30" s="41">
        <f>SUMIFS(Activite!$I:$I,Activite!$A:$A,$A30,Activite!$K:$K,$D$17,Activite!$E:$E,"Dividende")</f>
        <v>0</v>
      </c>
      <c r="E30" s="9"/>
      <c r="F30" s="9"/>
      <c r="G30" s="9"/>
      <c r="H30" s="9"/>
      <c r="I30" s="9"/>
      <c r="J30" s="9"/>
      <c r="K30" s="9"/>
    </row>
    <row r="3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  <row r="6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</row>
    <row r="6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</row>
    <row r="6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</row>
    <row r="6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</row>
    <row r="68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</row>
    <row r="69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</row>
    <row r="70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</row>
    <row r="7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</row>
    <row r="7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</row>
    <row r="7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</row>
    <row r="7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</row>
    <row r="7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</row>
    <row r="7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</row>
    <row r="7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</row>
    <row r="78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</row>
    <row r="79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</row>
    <row r="80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</row>
    <row r="8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</row>
    <row r="8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</row>
    <row r="8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</row>
    <row r="8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</row>
    <row r="8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</row>
    <row r="8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</row>
    <row r="8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</row>
    <row r="88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</row>
    <row r="89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</row>
    <row r="90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</row>
    <row r="9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</row>
    <row r="9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</row>
    <row r="9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</row>
    <row r="9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</row>
    <row r="9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</row>
    <row r="9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</row>
    <row r="9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</row>
    <row r="9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</row>
    <row r="99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</row>
    <row r="100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</row>
    <row r="10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</row>
    <row r="10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</row>
    <row r="10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</row>
    <row r="10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</row>
    <row r="10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</row>
    <row r="10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</row>
    <row r="10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</row>
    <row r="108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</row>
    <row r="109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</row>
    <row r="110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</row>
    <row r="11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</row>
    <row r="11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</row>
    <row r="11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</row>
    <row r="11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</row>
    <row r="1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</row>
    <row r="11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</row>
    <row r="11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</row>
    <row r="118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</row>
    <row r="119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</row>
    <row r="120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</row>
    <row r="12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</row>
    <row r="12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</row>
    <row r="12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</row>
    <row r="12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</row>
    <row r="1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</row>
    <row r="1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</row>
    <row r="1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</row>
    <row r="128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</row>
    <row r="129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</row>
    <row r="130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</row>
    <row r="13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</row>
    <row r="13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</row>
    <row r="13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</row>
    <row r="13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</row>
    <row r="1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</row>
    <row r="13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</row>
    <row r="13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</row>
    <row r="138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</row>
    <row r="139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</row>
    <row r="140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</row>
    <row r="14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</row>
    <row r="14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</row>
    <row r="14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</row>
    <row r="14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</row>
    <row r="14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</row>
    <row r="14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</row>
    <row r="14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</row>
    <row r="148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</row>
    <row r="149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</row>
    <row r="150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</row>
    <row r="15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</row>
    <row r="15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</row>
    <row r="15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</row>
    <row r="15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</row>
    <row r="15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</row>
    <row r="15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</row>
    <row r="15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</row>
    <row r="158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</row>
    <row r="159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</row>
    <row r="160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</row>
    <row r="16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</row>
    <row r="16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</row>
    <row r="16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</row>
    <row r="16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</row>
    <row r="16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</row>
    <row r="16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</row>
    <row r="16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</row>
    <row r="168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</row>
    <row r="169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</row>
    <row r="170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</row>
    <row r="17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</row>
    <row r="17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</row>
    <row r="17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</row>
    <row r="17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</row>
    <row r="1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</row>
    <row r="17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</row>
    <row r="17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</row>
    <row r="178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</row>
    <row r="179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</row>
    <row r="180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</row>
    <row r="18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</row>
    <row r="18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</row>
    <row r="18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</row>
    <row r="18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</row>
    <row r="18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</row>
    <row r="18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</row>
    <row r="18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</row>
    <row r="188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</row>
    <row r="189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</row>
    <row r="190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</row>
    <row r="19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</row>
    <row r="19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</row>
    <row r="19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</row>
    <row r="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</row>
    <row r="19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</row>
    <row r="19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</row>
    <row r="19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</row>
    <row r="198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</row>
    <row r="199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</row>
    <row r="200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</row>
    <row r="20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</row>
    <row r="20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</row>
    <row r="20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</row>
    <row r="20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</row>
    <row r="20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</row>
    <row r="20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</row>
    <row r="20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</row>
    <row r="208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</row>
    <row r="209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</row>
    <row r="210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</row>
    <row r="21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</row>
    <row r="21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</row>
    <row r="21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</row>
    <row r="21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</row>
    <row r="21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</row>
    <row r="21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</row>
    <row r="21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</row>
    <row r="218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</row>
    <row r="219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</row>
    <row r="220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</row>
    <row r="22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</row>
    <row r="22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</row>
    <row r="22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</row>
    <row r="22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</row>
    <row r="2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</row>
    <row r="226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</row>
    <row r="2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</row>
    <row r="228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</row>
    <row r="229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</row>
    <row r="230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</row>
    <row r="23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</row>
    <row r="23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</row>
    <row r="23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</row>
    <row r="23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</row>
    <row r="2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</row>
    <row r="236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</row>
    <row r="23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</row>
    <row r="238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</row>
    <row r="239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</row>
    <row r="240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</row>
    <row r="24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</row>
    <row r="24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</row>
    <row r="24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</row>
    <row r="24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</row>
    <row r="24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</row>
    <row r="246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</row>
    <row r="24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</row>
    <row r="248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</row>
    <row r="249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</row>
    <row r="250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</row>
    <row r="25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</row>
    <row r="25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</row>
    <row r="25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</row>
    <row r="25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</row>
    <row r="25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</row>
    <row r="256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</row>
    <row r="25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</row>
    <row r="258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</row>
    <row r="259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</row>
    <row r="260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</row>
    <row r="26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</row>
    <row r="26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</row>
    <row r="26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</row>
    <row r="26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</row>
    <row r="26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</row>
    <row r="266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</row>
    <row r="26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</row>
    <row r="268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</row>
    <row r="269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</row>
    <row r="270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</row>
    <row r="27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</row>
    <row r="27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</row>
    <row r="27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</row>
    <row r="27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</row>
    <row r="2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</row>
    <row r="276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</row>
    <row r="27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</row>
    <row r="278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</row>
    <row r="279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</row>
    <row r="280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</row>
    <row r="28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</row>
    <row r="28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</row>
    <row r="28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</row>
    <row r="28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</row>
    <row r="28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</row>
    <row r="286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</row>
    <row r="28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</row>
    <row r="288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</row>
    <row r="289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</row>
    <row r="290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</row>
    <row r="29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</row>
    <row r="29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</row>
    <row r="29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</row>
    <row r="2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</row>
    <row r="29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</row>
    <row r="296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</row>
    <row r="29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</row>
    <row r="298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</row>
    <row r="299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</row>
    <row r="300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</row>
    <row r="30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</row>
    <row r="30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</row>
    <row r="30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</row>
    <row r="30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</row>
    <row r="30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</row>
    <row r="306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</row>
    <row r="30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</row>
    <row r="308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</row>
    <row r="309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</row>
    <row r="310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</row>
    <row r="31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</row>
    <row r="31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</row>
    <row r="31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</row>
    <row r="31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</row>
    <row r="31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</row>
    <row r="316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</row>
    <row r="31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</row>
    <row r="318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</row>
    <row r="319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</row>
    <row r="320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</row>
    <row r="32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</row>
    <row r="32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</row>
    <row r="32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</row>
    <row r="32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</row>
    <row r="3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</row>
    <row r="326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</row>
    <row r="3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</row>
    <row r="328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</row>
    <row r="329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</row>
    <row r="330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</row>
    <row r="33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</row>
    <row r="33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</row>
    <row r="33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</row>
    <row r="33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</row>
    <row r="3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</row>
    <row r="336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</row>
    <row r="33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</row>
    <row r="338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</row>
    <row r="339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</row>
    <row r="340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</row>
    <row r="34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</row>
    <row r="34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</row>
    <row r="34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</row>
    <row r="34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</row>
    <row r="34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</row>
    <row r="346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</row>
    <row r="34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</row>
    <row r="348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</row>
    <row r="349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</row>
    <row r="350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</row>
    <row r="35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</row>
    <row r="35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</row>
    <row r="35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</row>
    <row r="35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</row>
    <row r="35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</row>
    <row r="356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</row>
    <row r="35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</row>
    <row r="358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</row>
    <row r="359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</row>
    <row r="360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</row>
    <row r="36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</row>
    <row r="36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</row>
    <row r="36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</row>
    <row r="36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</row>
    <row r="36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</row>
    <row r="366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</row>
    <row r="36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</row>
    <row r="368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</row>
    <row r="369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</row>
    <row r="370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</row>
    <row r="37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</row>
    <row r="37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</row>
    <row r="37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</row>
    <row r="37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</row>
    <row r="3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</row>
    <row r="376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</row>
    <row r="37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</row>
    <row r="378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</row>
    <row r="379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</row>
    <row r="380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</row>
    <row r="38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</row>
    <row r="38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</row>
    <row r="38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</row>
    <row r="38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</row>
    <row r="38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</row>
    <row r="386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</row>
    <row r="38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</row>
    <row r="388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</row>
    <row r="389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</row>
    <row r="390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</row>
    <row r="39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</row>
    <row r="39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</row>
    <row r="39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</row>
    <row r="3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</row>
    <row r="39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</row>
    <row r="396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</row>
    <row r="39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</row>
    <row r="398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</row>
    <row r="399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</row>
    <row r="400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</row>
    <row r="40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</row>
    <row r="40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</row>
    <row r="40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</row>
    <row r="40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</row>
    <row r="40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</row>
    <row r="406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</row>
    <row r="40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</row>
    <row r="408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</row>
    <row r="409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</row>
    <row r="410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</row>
    <row r="41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</row>
    <row r="41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</row>
    <row r="41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</row>
    <row r="41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</row>
    <row r="41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</row>
    <row r="416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</row>
    <row r="41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</row>
    <row r="418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</row>
    <row r="419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</row>
    <row r="420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</row>
    <row r="42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</row>
    <row r="42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</row>
    <row r="42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</row>
    <row r="42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</row>
    <row r="4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</row>
    <row r="426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</row>
    <row r="4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</row>
    <row r="428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</row>
    <row r="429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</row>
    <row r="430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</row>
    <row r="43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</row>
    <row r="43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</row>
    <row r="43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</row>
    <row r="43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</row>
    <row r="4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</row>
    <row r="436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</row>
    <row r="43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</row>
    <row r="438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</row>
    <row r="439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</row>
    <row r="440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</row>
    <row r="44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</row>
    <row r="44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</row>
    <row r="44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</row>
    <row r="44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</row>
    <row r="44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</row>
    <row r="446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</row>
    <row r="44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</row>
    <row r="448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</row>
    <row r="449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</row>
    <row r="450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</row>
    <row r="45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</row>
    <row r="45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</row>
    <row r="45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</row>
    <row r="45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</row>
    <row r="45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</row>
    <row r="456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</row>
    <row r="45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</row>
    <row r="458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</row>
    <row r="459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</row>
    <row r="460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</row>
    <row r="46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</row>
    <row r="46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</row>
    <row r="46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</row>
    <row r="46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</row>
    <row r="46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</row>
    <row r="466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</row>
    <row r="46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</row>
    <row r="468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</row>
    <row r="469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</row>
    <row r="470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</row>
    <row r="47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</row>
    <row r="47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</row>
    <row r="47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</row>
    <row r="47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</row>
    <row r="4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</row>
    <row r="476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</row>
    <row r="47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</row>
    <row r="478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</row>
    <row r="479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</row>
    <row r="480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</row>
    <row r="48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</row>
    <row r="48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</row>
    <row r="48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</row>
    <row r="48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</row>
    <row r="48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</row>
    <row r="486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</row>
    <row r="48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</row>
    <row r="488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</row>
    <row r="489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</row>
    <row r="490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</row>
    <row r="49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</row>
    <row r="49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</row>
    <row r="49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</row>
    <row r="4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</row>
    <row r="49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</row>
    <row r="496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</row>
    <row r="49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</row>
    <row r="498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</row>
    <row r="499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</row>
    <row r="500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</row>
    <row r="50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</row>
    <row r="50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</row>
    <row r="50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</row>
    <row r="50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</row>
    <row r="50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</row>
    <row r="506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</row>
    <row r="50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</row>
    <row r="508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</row>
    <row r="509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</row>
    <row r="510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</row>
    <row r="51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</row>
    <row r="51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</row>
    <row r="51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</row>
    <row r="51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</row>
    <row r="51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</row>
    <row r="516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</row>
    <row r="51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</row>
    <row r="518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</row>
    <row r="519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</row>
    <row r="520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</row>
    <row r="52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</row>
    <row r="52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</row>
    <row r="52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</row>
    <row r="52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</row>
    <row r="5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</row>
    <row r="526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</row>
    <row r="5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</row>
    <row r="528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</row>
    <row r="529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</row>
    <row r="530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</row>
    <row r="53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</row>
    <row r="53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</row>
    <row r="53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</row>
    <row r="53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</row>
    <row r="5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</row>
    <row r="536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</row>
    <row r="53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</row>
    <row r="538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</row>
    <row r="539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</row>
    <row r="540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</row>
    <row r="54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</row>
    <row r="54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</row>
    <row r="54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</row>
    <row r="54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</row>
    <row r="54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</row>
    <row r="546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</row>
    <row r="54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</row>
    <row r="548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</row>
    <row r="549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</row>
    <row r="550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</row>
    <row r="55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</row>
    <row r="55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</row>
    <row r="55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</row>
    <row r="55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</row>
    <row r="55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</row>
    <row r="556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</row>
    <row r="55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</row>
    <row r="558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</row>
    <row r="559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</row>
    <row r="560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</row>
    <row r="56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</row>
    <row r="56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</row>
    <row r="56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</row>
    <row r="56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</row>
    <row r="56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</row>
    <row r="566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</row>
    <row r="56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</row>
    <row r="568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</row>
    <row r="569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</row>
    <row r="570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</row>
    <row r="57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</row>
    <row r="57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</row>
    <row r="57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</row>
    <row r="57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</row>
    <row r="5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</row>
    <row r="576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</row>
    <row r="57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</row>
    <row r="578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</row>
    <row r="579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</row>
    <row r="580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</row>
    <row r="58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</row>
    <row r="58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</row>
    <row r="58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</row>
    <row r="58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</row>
    <row r="58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</row>
    <row r="586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</row>
    <row r="58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</row>
    <row r="589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</row>
    <row r="590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</row>
    <row r="59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</row>
    <row r="59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</row>
    <row r="59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</row>
    <row r="5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</row>
    <row r="59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</row>
    <row r="596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</row>
    <row r="59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</row>
    <row r="598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</row>
    <row r="599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</row>
    <row r="600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</row>
    <row r="60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</row>
    <row r="60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</row>
    <row r="60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</row>
    <row r="60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</row>
    <row r="60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</row>
    <row r="606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</row>
    <row r="60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</row>
    <row r="608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</row>
    <row r="610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</row>
    <row r="61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</row>
    <row r="61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</row>
    <row r="61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</row>
    <row r="61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</row>
    <row r="61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</row>
    <row r="616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</row>
    <row r="61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</row>
    <row r="618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</row>
    <row r="619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</row>
    <row r="620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</row>
    <row r="62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</row>
    <row r="62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</row>
    <row r="62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</row>
    <row r="62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</row>
    <row r="6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</row>
    <row r="626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</row>
    <row r="6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</row>
    <row r="628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</row>
    <row r="629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</row>
    <row r="630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</row>
    <row r="63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</row>
    <row r="63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</row>
    <row r="63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</row>
    <row r="63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</row>
    <row r="6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</row>
    <row r="636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</row>
    <row r="63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</row>
    <row r="638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</row>
    <row r="639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</row>
    <row r="640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</row>
    <row r="64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</row>
    <row r="64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</row>
    <row r="64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</row>
    <row r="64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</row>
    <row r="64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</row>
    <row r="646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</row>
    <row r="64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</row>
    <row r="648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</row>
    <row r="649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</row>
    <row r="650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</row>
    <row r="65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</row>
    <row r="65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</row>
    <row r="65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</row>
    <row r="65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</row>
    <row r="65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</row>
    <row r="656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</row>
    <row r="65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</row>
    <row r="658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</row>
    <row r="659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</row>
    <row r="660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</row>
    <row r="66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</row>
    <row r="66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</row>
    <row r="66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</row>
    <row r="66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</row>
    <row r="66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</row>
    <row r="666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</row>
    <row r="66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</row>
    <row r="668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</row>
    <row r="669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</row>
    <row r="670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</row>
    <row r="67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</row>
    <row r="67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</row>
    <row r="67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</row>
    <row r="67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</row>
    <row r="6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</row>
    <row r="676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</row>
    <row r="67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</row>
    <row r="678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</row>
    <row r="679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</row>
    <row r="680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</row>
    <row r="68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</row>
    <row r="68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</row>
    <row r="68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</row>
    <row r="68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</row>
    <row r="68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</row>
    <row r="686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</row>
    <row r="68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</row>
    <row r="688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</row>
    <row r="689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</row>
    <row r="690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</row>
    <row r="69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</row>
    <row r="69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</row>
    <row r="69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</row>
    <row r="6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</row>
    <row r="69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</row>
    <row r="696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</row>
    <row r="69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</row>
    <row r="698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</row>
    <row r="699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</row>
    <row r="700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</row>
    <row r="70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</row>
    <row r="70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</row>
    <row r="70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</row>
    <row r="70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</row>
    <row r="70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</row>
    <row r="706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</row>
    <row r="70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</row>
    <row r="708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</row>
    <row r="709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</row>
    <row r="710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</row>
    <row r="71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</row>
    <row r="71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</row>
    <row r="71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</row>
    <row r="71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</row>
    <row r="71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</row>
    <row r="716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</row>
    <row r="71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</row>
    <row r="718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</row>
    <row r="719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</row>
    <row r="720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</row>
    <row r="72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</row>
    <row r="72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</row>
    <row r="72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</row>
    <row r="72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</row>
    <row r="7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</row>
    <row r="726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</row>
    <row r="7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</row>
    <row r="728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</row>
    <row r="729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</row>
    <row r="730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</row>
    <row r="73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</row>
    <row r="73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</row>
    <row r="73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</row>
    <row r="73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</row>
    <row r="7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</row>
    <row r="736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</row>
    <row r="73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</row>
    <row r="738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</row>
    <row r="739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</row>
    <row r="740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</row>
    <row r="74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</row>
    <row r="74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</row>
    <row r="74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</row>
    <row r="74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</row>
    <row r="74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</row>
    <row r="746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</row>
    <row r="74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</row>
    <row r="748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</row>
    <row r="749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</row>
    <row r="750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</row>
    <row r="75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</row>
    <row r="75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</row>
    <row r="75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</row>
    <row r="75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</row>
    <row r="75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</row>
    <row r="756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</row>
    <row r="75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</row>
    <row r="758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</row>
    <row r="759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</row>
    <row r="760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</row>
    <row r="76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</row>
    <row r="76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</row>
    <row r="76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</row>
    <row r="76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</row>
    <row r="76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</row>
    <row r="766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</row>
    <row r="76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</row>
    <row r="768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</row>
    <row r="769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</row>
    <row r="770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</row>
    <row r="77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</row>
    <row r="77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</row>
    <row r="77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</row>
    <row r="77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</row>
    <row r="7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</row>
    <row r="776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</row>
    <row r="77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</row>
    <row r="778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</row>
    <row r="779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</row>
    <row r="780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</row>
    <row r="78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</row>
    <row r="78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</row>
    <row r="78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</row>
    <row r="78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</row>
    <row r="78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</row>
    <row r="786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</row>
    <row r="78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</row>
    <row r="788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</row>
    <row r="789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</row>
    <row r="790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</row>
    <row r="79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</row>
    <row r="79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</row>
    <row r="79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</row>
    <row r="7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</row>
    <row r="79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</row>
    <row r="796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</row>
    <row r="79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</row>
    <row r="798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</row>
    <row r="799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</row>
    <row r="800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</row>
    <row r="80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</row>
    <row r="80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</row>
    <row r="80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</row>
    <row r="80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</row>
    <row r="80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</row>
    <row r="806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</row>
    <row r="807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</row>
    <row r="808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</row>
    <row r="809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</row>
    <row r="810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</row>
    <row r="81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</row>
    <row r="81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</row>
    <row r="81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</row>
    <row r="81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</row>
    <row r="816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</row>
    <row r="817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</row>
    <row r="818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</row>
    <row r="819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</row>
    <row r="820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</row>
    <row r="82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</row>
    <row r="82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</row>
    <row r="82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</row>
    <row r="82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</row>
    <row r="8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</row>
    <row r="826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</row>
    <row r="827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</row>
    <row r="828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</row>
    <row r="829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</row>
    <row r="830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</row>
    <row r="83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</row>
    <row r="83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</row>
    <row r="83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</row>
    <row r="8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</row>
    <row r="836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</row>
    <row r="837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</row>
    <row r="838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</row>
    <row r="839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</row>
    <row r="840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</row>
    <row r="84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</row>
    <row r="84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</row>
    <row r="84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</row>
    <row r="84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</row>
    <row r="84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</row>
    <row r="846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</row>
    <row r="847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</row>
    <row r="848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</row>
    <row r="849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</row>
    <row r="850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</row>
    <row r="85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</row>
    <row r="85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</row>
    <row r="85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</row>
    <row r="85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</row>
    <row r="85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</row>
    <row r="856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</row>
    <row r="857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</row>
    <row r="858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</row>
    <row r="859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</row>
    <row r="860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</row>
    <row r="86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</row>
    <row r="86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</row>
    <row r="86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</row>
    <row r="86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</row>
    <row r="86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</row>
    <row r="866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</row>
    <row r="867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</row>
    <row r="868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</row>
    <row r="869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</row>
    <row r="870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</row>
    <row r="87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</row>
    <row r="87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</row>
    <row r="87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</row>
    <row r="87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</row>
    <row r="8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</row>
    <row r="876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</row>
    <row r="877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</row>
    <row r="878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</row>
    <row r="879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</row>
    <row r="880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</row>
    <row r="88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</row>
    <row r="88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</row>
    <row r="88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</row>
    <row r="88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</row>
    <row r="88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</row>
    <row r="886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</row>
    <row r="887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</row>
    <row r="888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</row>
    <row r="889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</row>
    <row r="890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</row>
    <row r="89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</row>
    <row r="89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</row>
    <row r="89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</row>
    <row r="8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</row>
    <row r="89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</row>
    <row r="896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</row>
    <row r="897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</row>
    <row r="898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</row>
    <row r="899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</row>
    <row r="900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</row>
    <row r="90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</row>
    <row r="90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</row>
    <row r="90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</row>
    <row r="90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</row>
    <row r="90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</row>
    <row r="906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</row>
    <row r="907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</row>
    <row r="908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</row>
    <row r="909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</row>
    <row r="910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</row>
    <row r="91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</row>
    <row r="91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</row>
    <row r="91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</row>
    <row r="91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</row>
    <row r="91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</row>
    <row r="916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</row>
    <row r="917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</row>
    <row r="918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</row>
    <row r="919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</row>
    <row r="920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</row>
    <row r="92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</row>
    <row r="92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</row>
    <row r="92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</row>
    <row r="92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</row>
    <row r="9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</row>
    <row r="926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</row>
    <row r="927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</row>
    <row r="928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</row>
    <row r="929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</row>
    <row r="930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</row>
    <row r="93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</row>
    <row r="93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</row>
    <row r="93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</row>
    <row r="93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</row>
    <row r="9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</row>
    <row r="936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</row>
    <row r="937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</row>
    <row r="938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</row>
    <row r="939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</row>
    <row r="940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</row>
    <row r="94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</row>
    <row r="94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</row>
    <row r="94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</row>
    <row r="94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</row>
    <row r="94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</row>
    <row r="946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</row>
    <row r="947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</row>
    <row r="948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</row>
    <row r="949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</row>
    <row r="950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</row>
    <row r="95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</row>
    <row r="95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</row>
    <row r="95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</row>
    <row r="95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</row>
    <row r="95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</row>
    <row r="956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</row>
    <row r="957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</row>
    <row r="958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</row>
    <row r="959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</row>
    <row r="960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</row>
    <row r="96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</row>
    <row r="96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</row>
    <row r="96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</row>
    <row r="96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</row>
    <row r="96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</row>
    <row r="966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</row>
    <row r="967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</row>
    <row r="968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</row>
    <row r="969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</row>
    <row r="970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</row>
    <row r="97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</row>
    <row r="97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</row>
    <row r="97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</row>
    <row r="97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</row>
    <row r="97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</row>
    <row r="976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</row>
    <row r="977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</row>
    <row r="978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</row>
    <row r="979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</row>
    <row r="980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</row>
    <row r="98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</row>
    <row r="98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</row>
    <row r="98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</row>
    <row r="98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</row>
    <row r="98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</row>
    <row r="986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</row>
    <row r="987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</row>
    <row r="988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</row>
    <row r="989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</row>
    <row r="990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</row>
    <row r="99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</row>
    <row r="99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</row>
    <row r="99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</row>
    <row r="9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</row>
    <row r="99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</row>
    <row r="996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</row>
    <row r="997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</row>
    <row r="998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</row>
    <row r="999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</row>
    <row r="1000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4.43"/>
    <col customWidth="1" min="3" max="3" width="15.29"/>
    <col customWidth="1" min="5" max="5" width="11.29"/>
    <col customWidth="1" min="6" max="6" width="17.0"/>
    <col customWidth="1" min="10" max="10" width="6.86"/>
    <col customWidth="1" min="11" max="11" width="21.86"/>
    <col customWidth="1" min="12" max="12" width="12.29"/>
  </cols>
  <sheetData>
    <row r="1">
      <c r="A1" s="34" t="s">
        <v>103</v>
      </c>
      <c r="B1" s="42" t="s">
        <v>59</v>
      </c>
      <c r="C1" s="42" t="s">
        <v>62</v>
      </c>
      <c r="D1" s="42" t="s">
        <v>58</v>
      </c>
      <c r="E1" s="43" t="s">
        <v>104</v>
      </c>
      <c r="F1" s="17" t="s">
        <v>65</v>
      </c>
      <c r="G1" s="17" t="s">
        <v>105</v>
      </c>
    </row>
    <row r="2">
      <c r="A2" s="33" t="s">
        <v>70</v>
      </c>
      <c r="B2" s="44">
        <f>SUMIF(Portefeuille!D:D,A2,Portefeuille!J:J)</f>
        <v>4927.4</v>
      </c>
      <c r="C2" s="44">
        <f>SUMIF(Portefeuille!D:D,A2,Portefeuille!M:M)</f>
        <v>5752.374356</v>
      </c>
      <c r="D2" s="45">
        <f>C2/Portefeuille!$E$2</f>
        <v>0.3400924987</v>
      </c>
      <c r="E2" s="46">
        <f>IFERROR((SUMIF(Portefeuille!D:D,A2,Portefeuille!M:M)-SUMIF(Portefeuille!D:D,A2,Portefeuille!J:J))/SUMIF(Portefeuille!D:D,A2,Portefeuille!J:J),"")</f>
        <v>0.1674258951</v>
      </c>
      <c r="F2" s="47">
        <f>SUMIF(Portefeuille!D:D,A2,Portefeuille!P:P)</f>
        <v>5821.274356</v>
      </c>
      <c r="G2" s="48">
        <f t="shared" ref="G2:G16" si="1">IFERROR((F2-B2)/B2,"")</f>
        <v>0.1814089288</v>
      </c>
    </row>
    <row r="3">
      <c r="A3" s="49" t="s">
        <v>86</v>
      </c>
      <c r="B3" s="44">
        <f>SUMIF(Portefeuille!D:D,A3,Portefeuille!J:J)</f>
        <v>863.4</v>
      </c>
      <c r="C3" s="44">
        <f>SUMIF(Portefeuille!D:D,A3,Portefeuille!M:M)</f>
        <v>929.132972</v>
      </c>
      <c r="D3" s="45">
        <f>C3/Portefeuille!$E$2</f>
        <v>0.05493230004</v>
      </c>
      <c r="E3" s="46">
        <f>IFERROR((SUMIF(Portefeuille!D:D,A3,Portefeuille!M:M)-SUMIF(Portefeuille!D:D,A3,Portefeuille!J:J))/SUMIF(Portefeuille!D:D,A3,Portefeuille!J:J),"")</f>
        <v>0.07613269868</v>
      </c>
      <c r="F3" s="47">
        <f>SUMIF(Portefeuille!D:D,A3,Portefeuille!P:P)</f>
        <v>929.132972</v>
      </c>
      <c r="G3" s="48">
        <f t="shared" si="1"/>
        <v>0.07613269868</v>
      </c>
    </row>
    <row r="4">
      <c r="A4" s="50" t="s">
        <v>83</v>
      </c>
      <c r="B4" s="44">
        <f>SUMIF(Portefeuille!D:D,A4,Portefeuille!J:J)</f>
        <v>790.5</v>
      </c>
      <c r="C4" s="44">
        <f>SUMIF(Portefeuille!D:D,A4,Portefeuille!M:M)</f>
        <v>1330.586806</v>
      </c>
      <c r="D4" s="45">
        <f>C4/Portefeuille!$E$2</f>
        <v>0.078667097</v>
      </c>
      <c r="E4" s="46">
        <f>IFERROR((SUMIF(Portefeuille!D:D,A4,Portefeuille!M:M)-SUMIF(Portefeuille!D:D,A4,Portefeuille!J:J))/SUMIF(Portefeuille!D:D,A4,Portefeuille!J:J),"")</f>
        <v>0.6832217655</v>
      </c>
      <c r="F4" s="47">
        <f>SUMIF(Portefeuille!D:D,A4,Portefeuille!P:P)</f>
        <v>1330.586806</v>
      </c>
      <c r="G4" s="48">
        <f t="shared" si="1"/>
        <v>0.6832217655</v>
      </c>
    </row>
    <row r="5">
      <c r="A5" s="33" t="s">
        <v>68</v>
      </c>
      <c r="B5" s="44">
        <f>SUMIF(Portefeuille!D:D,A5,Portefeuille!J:J)</f>
        <v>3013.3</v>
      </c>
      <c r="C5" s="44">
        <f>SUMIF(Portefeuille!D:D,A5,Portefeuille!M:M)</f>
        <v>3590.523693</v>
      </c>
      <c r="D5" s="45">
        <f>C5/Portefeuille!$E$2</f>
        <v>0.21227933</v>
      </c>
      <c r="E5" s="46">
        <f>IFERROR((SUMIF(Portefeuille!D:D,A5,Portefeuille!M:M)-SUMIF(Portefeuille!D:D,A5,Portefeuille!J:J))/SUMIF(Portefeuille!D:D,A5,Portefeuille!J:J),"")</f>
        <v>0.1915586541</v>
      </c>
      <c r="F5" s="47">
        <f>SUMIF(Portefeuille!D:D,A5,Portefeuille!P:P)</f>
        <v>3606.323693</v>
      </c>
      <c r="G5" s="48">
        <f t="shared" si="1"/>
        <v>0.196802075</v>
      </c>
    </row>
    <row r="6">
      <c r="A6" s="33" t="s">
        <v>81</v>
      </c>
      <c r="B6" s="44">
        <f>SUMIF(Portefeuille!D:D,A6,Portefeuille!J:J)</f>
        <v>331.8</v>
      </c>
      <c r="C6" s="44">
        <f>SUMIF(Portefeuille!D:D,A6,Portefeuille!M:M)</f>
        <v>364.35</v>
      </c>
      <c r="D6" s="45">
        <f>C6/Portefeuille!$E$2</f>
        <v>0.0215411401</v>
      </c>
      <c r="E6" s="46">
        <f>IFERROR((SUMIF(Portefeuille!D:D,A6,Portefeuille!M:M)-SUMIF(Portefeuille!D:D,A6,Portefeuille!J:J))/SUMIF(Portefeuille!D:D,A6,Portefeuille!J:J),"")</f>
        <v>0.09810126582</v>
      </c>
      <c r="F6" s="47">
        <f>SUMIF(Portefeuille!D:D,A6,Portefeuille!P:P)</f>
        <v>364.35</v>
      </c>
      <c r="G6" s="48">
        <f t="shared" si="1"/>
        <v>0.09810126582</v>
      </c>
    </row>
    <row r="7">
      <c r="A7" s="33" t="s">
        <v>106</v>
      </c>
      <c r="B7" s="44">
        <f>SUMIF(Portefeuille!D:D,A7,Portefeuille!J:J)</f>
        <v>0</v>
      </c>
      <c r="C7" s="44">
        <f>SUMIF(Portefeuille!D:D,A7,Portefeuille!M:M)</f>
        <v>0</v>
      </c>
      <c r="D7" s="45">
        <f>C7/Portefeuille!$E$2</f>
        <v>0</v>
      </c>
      <c r="E7" s="46" t="str">
        <f>IFERROR((SUMIF(Portefeuille!D:D,A7,Portefeuille!M:M)-SUMIF(Portefeuille!D:D,A7,Portefeuille!J:J))/SUMIF(Portefeuille!D:D,A7,Portefeuille!J:J),"")</f>
        <v/>
      </c>
      <c r="F7" s="47">
        <f>SUMIF(Portefeuille!D:D,A7,Portefeuille!P:P)</f>
        <v>0</v>
      </c>
      <c r="G7" s="48" t="str">
        <f t="shared" si="1"/>
        <v/>
      </c>
    </row>
    <row r="8">
      <c r="A8" s="33" t="s">
        <v>88</v>
      </c>
      <c r="B8" s="44">
        <f>SUMIF(Portefeuille!D:D,A8,Portefeuille!J:J)</f>
        <v>913.5</v>
      </c>
      <c r="C8" s="44">
        <f>SUMIF(Portefeuille!D:D,A8,Portefeuille!M:M)</f>
        <v>975.4</v>
      </c>
      <c r="D8" s="45">
        <f>C8/Portefeuille!$E$2</f>
        <v>0.05766770428</v>
      </c>
      <c r="E8" s="46">
        <f>IFERROR((SUMIF(Portefeuille!D:D,A8,Portefeuille!M:M)-SUMIF(Portefeuille!D:D,A8,Portefeuille!J:J))/SUMIF(Portefeuille!D:D,A8,Portefeuille!J:J),"")</f>
        <v>0.06776135742</v>
      </c>
      <c r="F8" s="47">
        <f>SUMIF(Portefeuille!D:D,A8,Portefeuille!P:P)</f>
        <v>1001</v>
      </c>
      <c r="G8" s="48">
        <f t="shared" si="1"/>
        <v>0.09578544061</v>
      </c>
    </row>
    <row r="9">
      <c r="A9" s="33" t="s">
        <v>107</v>
      </c>
      <c r="B9" s="44">
        <f>SUMIF(Portefeuille!D:D,A9,Portefeuille!J:J)</f>
        <v>0</v>
      </c>
      <c r="C9" s="44">
        <f>SUMIF(Portefeuille!D:D,A9,Portefeuille!M:M)</f>
        <v>0</v>
      </c>
      <c r="D9" s="45">
        <f>C9/Portefeuille!$E$2</f>
        <v>0</v>
      </c>
      <c r="E9" s="46" t="str">
        <f>IFERROR((SUMIF(Portefeuille!D:D,A9,Portefeuille!M:M)-SUMIF(Portefeuille!D:D,A9,Portefeuille!J:J))/SUMIF(Portefeuille!D:D,A9,Portefeuille!J:J),"")</f>
        <v/>
      </c>
      <c r="F9" s="47">
        <f>SUMIF(Portefeuille!D:D,A9,Portefeuille!P:P)</f>
        <v>0</v>
      </c>
      <c r="G9" s="48" t="str">
        <f t="shared" si="1"/>
        <v/>
      </c>
    </row>
    <row r="10">
      <c r="A10" s="33" t="s">
        <v>108</v>
      </c>
      <c r="B10" s="44">
        <f>SUMIF(Portefeuille!D:D,A10,Portefeuille!J:J)</f>
        <v>0</v>
      </c>
      <c r="C10" s="44">
        <f>SUMIF(Portefeuille!D:D,A10,Portefeuille!M:M)</f>
        <v>0</v>
      </c>
      <c r="D10" s="45">
        <f>C10/Portefeuille!$E$2</f>
        <v>0</v>
      </c>
      <c r="E10" s="46" t="str">
        <f>IFERROR((SUMIF(Portefeuille!D:D,A10,Portefeuille!M:M)-SUMIF(Portefeuille!D:D,A10,Portefeuille!J:J))/SUMIF(Portefeuille!D:D,A10,Portefeuille!J:J),"")</f>
        <v/>
      </c>
      <c r="F10" s="47">
        <f>SUMIF(Portefeuille!D:D,A10,Portefeuille!P:P)</f>
        <v>0</v>
      </c>
      <c r="G10" s="48" t="str">
        <f t="shared" si="1"/>
        <v/>
      </c>
    </row>
    <row r="11">
      <c r="A11" s="33" t="s">
        <v>109</v>
      </c>
      <c r="B11" s="44">
        <f>SUMIF(Portefeuille!D:D,A11,Portefeuille!J:J)</f>
        <v>0</v>
      </c>
      <c r="C11" s="44">
        <f>SUMIF(Portefeuille!D:D,A11,Portefeuille!M:M)</f>
        <v>0</v>
      </c>
      <c r="D11" s="45">
        <f>C11/Portefeuille!$E$2</f>
        <v>0</v>
      </c>
      <c r="E11" s="46" t="str">
        <f>IFERROR((SUMIF(Portefeuille!D:D,A11,Portefeuille!M:M)-SUMIF(Portefeuille!D:D,A11,Portefeuille!J:J))/SUMIF(Portefeuille!D:D,A11,Portefeuille!J:J),"")</f>
        <v/>
      </c>
      <c r="F11" s="47">
        <f>SUMIF(Portefeuille!D:D,A11,Portefeuille!P:P)</f>
        <v>0</v>
      </c>
      <c r="G11" s="48" t="str">
        <f t="shared" si="1"/>
        <v/>
      </c>
    </row>
    <row r="12">
      <c r="A12" s="33" t="s">
        <v>72</v>
      </c>
      <c r="B12" s="44">
        <f>SUMIF(Portefeuille!D:D,A12,Portefeuille!J:J)</f>
        <v>2497</v>
      </c>
      <c r="C12" s="44">
        <f>SUMIF(Portefeuille!D:D,A12,Portefeuille!M:M)</f>
        <v>2560.228702</v>
      </c>
      <c r="D12" s="45">
        <f>C12/Portefeuille!$E$2</f>
        <v>0.1513661181</v>
      </c>
      <c r="E12" s="46">
        <f>IFERROR((SUMIF(Portefeuille!D:D,A12,Portefeuille!M:M)-SUMIF(Portefeuille!D:D,A12,Portefeuille!J:J))/SUMIF(Portefeuille!D:D,A12,Portefeuille!J:J),"")</f>
        <v>0.02532186688</v>
      </c>
      <c r="F12" s="47">
        <f>SUMIF(Portefeuille!D:D,A12,Portefeuille!P:P)</f>
        <v>2560.228702</v>
      </c>
      <c r="G12" s="48">
        <f t="shared" si="1"/>
        <v>0.02532186688</v>
      </c>
    </row>
    <row r="13">
      <c r="A13" s="33" t="s">
        <v>110</v>
      </c>
      <c r="B13" s="44">
        <f>SUMIF(Portefeuille!D:D,A13,Portefeuille!J:J)</f>
        <v>0</v>
      </c>
      <c r="C13" s="44">
        <f>SUMIF(Portefeuille!D:D,A13,Portefeuille!M:M)</f>
        <v>0</v>
      </c>
      <c r="D13" s="45">
        <f>C13/Portefeuille!$E$2</f>
        <v>0</v>
      </c>
      <c r="E13" s="46" t="str">
        <f>IFERROR((SUMIF(Portefeuille!D:D,A13,Portefeuille!M:M)-SUMIF(Portefeuille!D:D,A13,Portefeuille!J:J))/SUMIF(Portefeuille!D:D,A13,Portefeuille!J:J),"")</f>
        <v/>
      </c>
      <c r="F13" s="47">
        <f>SUMIF(Portefeuille!D:D,A13,Portefeuille!P:P)</f>
        <v>0</v>
      </c>
      <c r="G13" s="48" t="str">
        <f t="shared" si="1"/>
        <v/>
      </c>
    </row>
    <row r="14">
      <c r="A14" s="33" t="s">
        <v>111</v>
      </c>
      <c r="B14" s="44">
        <f>SUMIF(Portefeuille!D:D,A14,Portefeuille!J:J)</f>
        <v>0</v>
      </c>
      <c r="C14" s="44">
        <f>SUMIF(Portefeuille!D:D,A14,Portefeuille!M:M)</f>
        <v>0</v>
      </c>
      <c r="D14" s="45">
        <f>C14/Portefeuille!$E$2</f>
        <v>0</v>
      </c>
      <c r="E14" s="46" t="str">
        <f>IFERROR((SUMIF(Portefeuille!D:D,A14,Portefeuille!M:M)-SUMIF(Portefeuille!D:D,A14,Portefeuille!J:J))/SUMIF(Portefeuille!D:D,A14,Portefeuille!J:J),"")</f>
        <v/>
      </c>
      <c r="F14" s="47">
        <f>SUMIF(Portefeuille!D:D,A14,Portefeuille!P:P)</f>
        <v>0</v>
      </c>
      <c r="G14" s="48" t="str">
        <f t="shared" si="1"/>
        <v/>
      </c>
    </row>
    <row r="15">
      <c r="A15" s="33" t="s">
        <v>112</v>
      </c>
      <c r="B15" s="44">
        <f>SUMIF(Portefeuille!D:D,A15,Portefeuille!J:J)</f>
        <v>0</v>
      </c>
      <c r="C15" s="44">
        <f>SUMIF(Portefeuille!D:D,A15,Portefeuille!M:M)</f>
        <v>0</v>
      </c>
      <c r="D15" s="45">
        <f>C15/Portefeuille!$E$2</f>
        <v>0</v>
      </c>
      <c r="E15" s="46" t="str">
        <f>IFERROR((SUMIF(Portefeuille!D:D,A15,Portefeuille!M:M)-SUMIF(Portefeuille!D:D,A15,Portefeuille!J:J))/SUMIF(Portefeuille!D:D,A15,Portefeuille!J:J),"")</f>
        <v/>
      </c>
      <c r="F15" s="47">
        <f>SUMIF(Portefeuille!D:D,A15,Portefeuille!P:P)</f>
        <v>0</v>
      </c>
      <c r="G15" s="48" t="str">
        <f t="shared" si="1"/>
        <v/>
      </c>
    </row>
    <row r="16">
      <c r="A16" s="33" t="s">
        <v>77</v>
      </c>
      <c r="B16" s="44">
        <f>SUMIF(Portefeuille!D:D,A16,Portefeuille!J:J)</f>
        <v>1528.87</v>
      </c>
      <c r="C16" s="44">
        <f>SUMIF(Portefeuille!D:D,A16,Portefeuille!M:M)</f>
        <v>1411.55</v>
      </c>
      <c r="D16" s="45">
        <f>C16/Portefeuille!$E$2</f>
        <v>0.08345381174</v>
      </c>
      <c r="E16" s="46">
        <f>IFERROR((SUMIF(Portefeuille!D:D,A16,Portefeuille!M:M)-SUMIF(Portefeuille!D:D,A16,Portefeuille!J:J))/SUMIF(Portefeuille!D:D,A16,Portefeuille!J:J),"")</f>
        <v>-0.07673641317</v>
      </c>
      <c r="F16" s="47">
        <f>SUMIF(Portefeuille!D:D,A16,Portefeuille!P:P)</f>
        <v>1478.75</v>
      </c>
      <c r="G16" s="48">
        <f t="shared" si="1"/>
        <v>-0.03278238176</v>
      </c>
    </row>
    <row r="17">
      <c r="A17" s="9" t="s">
        <v>101</v>
      </c>
      <c r="B17" s="44">
        <f>Portefeuille!C2</f>
        <v>14865.77</v>
      </c>
      <c r="C17" s="44">
        <f>Portefeuille!E2</f>
        <v>16914.14653</v>
      </c>
      <c r="D17" s="51">
        <f>SUM(D2:D16)</f>
        <v>1</v>
      </c>
    </row>
    <row r="19">
      <c r="A19" s="52" t="s">
        <v>113</v>
      </c>
      <c r="B19" s="52" t="s">
        <v>114</v>
      </c>
      <c r="C19" s="52" t="s">
        <v>115</v>
      </c>
      <c r="D19" s="52" t="s">
        <v>104</v>
      </c>
      <c r="F19" s="2" t="s">
        <v>116</v>
      </c>
      <c r="K19" s="1" t="s">
        <v>56</v>
      </c>
    </row>
    <row r="20">
      <c r="A20" s="9" t="str">
        <f>IFERROR(__xludf.DUMMYFUNCTION("unique(Portefeuille!C4:C1000)"),"France")</f>
        <v>France</v>
      </c>
      <c r="B20" s="53">
        <f>SUMIF(Portefeuille!C:C,A20,Portefeuille!M:M)</f>
        <v>4978</v>
      </c>
      <c r="C20" s="54">
        <f t="shared" ref="C20:C27" si="2">B20/$C$17</f>
        <v>0.2943098543</v>
      </c>
      <c r="D20" s="55">
        <f>IFERROR((SUMIF(Portefeuille!C:C,A20,Portefeuille!M:M)-SUMIF(Portefeuille!C:C,A20,Portefeuille!J:J))/SUMIF(Portefeuille!C:C,A20,Portefeuille!J:J),"Erreur")</f>
        <v>0.1304130617</v>
      </c>
      <c r="F20" s="9" t="str">
        <f>IFERROR(__xludf.DUMMYFUNCTION("unique(Portefeuille!E4:E1000)"),"Euros")</f>
        <v>Euros</v>
      </c>
      <c r="G20" s="53">
        <f>SUMIF(Portefeuille!E:E,F20,Portefeuille!M:M)</f>
        <v>6753.9</v>
      </c>
      <c r="H20" s="54">
        <f t="shared" ref="H20:H24" si="3">G20/$C$17</f>
        <v>0.3993048061</v>
      </c>
      <c r="I20" s="55">
        <f>IFERROR((SUMIF(Portefeuille!E:E,F20,Portefeuille!M:M)-SUMIF(Portefeuille!E:E,F20,Portefeuille!J:J))/SUMIF(Portefeuille!E:E,F20,Portefeuille!J:J),"Erreur")</f>
        <v>0.07814512872</v>
      </c>
      <c r="K20" s="9" t="str">
        <f>IFERROR(__xludf.DUMMYFUNCTION("unique(Portefeuille!F4:F1000)"),"Bourse Direct PEA")</f>
        <v>Bourse Direct PEA</v>
      </c>
      <c r="L20" s="53">
        <f>SUMIF(Portefeuille!F:F,K20,Portefeuille!M:M)</f>
        <v>3722.15</v>
      </c>
      <c r="M20" s="54">
        <f t="shared" ref="M20:M24" si="4">L20/$C$17</f>
        <v>0.2200613548</v>
      </c>
      <c r="N20" s="55">
        <f>IFERROR((SUMIF(Portefeuille!F:F,K20,Portefeuille!M:M)-SUMIF(Portefeuille!F:F,K20,Portefeuille!J:J))/SUMIF(Portefeuille!F:F,K20,Portefeuille!J:J),"Erreur")</f>
        <v>0.1704874214</v>
      </c>
    </row>
    <row r="21">
      <c r="A21" s="9" t="str">
        <f>IFERROR(__xludf.DUMMYFUNCTION("""COMPUTED_VALUE"""),"UK")</f>
        <v>UK</v>
      </c>
      <c r="B21" s="53">
        <f>SUMIF(Portefeuille!C:C,A21,Portefeuille!M:M)</f>
        <v>310.3941244</v>
      </c>
      <c r="C21" s="54">
        <f t="shared" si="2"/>
        <v>0.01835115498</v>
      </c>
      <c r="D21" s="55">
        <f>IFERROR((SUMIF(Portefeuille!C:C,A21,Portefeuille!M:M)-SUMIF(Portefeuille!C:C,A21,Portefeuille!J:J))/SUMIF(Portefeuille!C:C,A21,Portefeuille!J:J),"Erreur")</f>
        <v>0.3431160725</v>
      </c>
      <c r="F21" s="9" t="str">
        <f>IFERROR(__xludf.DUMMYFUNCTION("""COMPUTED_VALUE"""),"Livre Sterling")</f>
        <v>Livre Sterling</v>
      </c>
      <c r="G21" s="53">
        <f>SUMIF(Portefeuille!E:E,F21,Portefeuille!M:M)</f>
        <v>310.3941244</v>
      </c>
      <c r="H21" s="54">
        <f t="shared" si="3"/>
        <v>0.01835115498</v>
      </c>
      <c r="I21" s="55">
        <f>IFERROR((SUMIF(Portefeuille!E:E,F21,Portefeuille!M:M)-SUMIF(Portefeuille!E:E,F21,Portefeuille!J:J))/SUMIF(Portefeuille!E:E,F21,Portefeuille!J:J),"Erreur")</f>
        <v>0.3431160725</v>
      </c>
      <c r="K21" s="9" t="str">
        <f>IFERROR(__xludf.DUMMYFUNCTION("""COMPUTED_VALUE"""),"Boursorama CTO")</f>
        <v>Boursorama CTO</v>
      </c>
      <c r="L21" s="53">
        <f>SUMIF(Portefeuille!F:F,K21,Portefeuille!M:M)</f>
        <v>3031.75</v>
      </c>
      <c r="M21" s="54">
        <f t="shared" si="4"/>
        <v>0.1792434513</v>
      </c>
      <c r="N21" s="55">
        <f>IFERROR((SUMIF(Portefeuille!F:F,K21,Portefeuille!M:M)-SUMIF(Portefeuille!F:F,K21,Portefeuille!J:J))/SUMIF(Portefeuille!F:F,K21,Portefeuille!J:J),"Erreur")</f>
        <v>-0.01706021003</v>
      </c>
    </row>
    <row r="22">
      <c r="A22" s="9" t="str">
        <f>IFERROR(__xludf.DUMMYFUNCTION("""COMPUTED_VALUE"""),"USA")</f>
        <v>USA</v>
      </c>
      <c r="B22" s="53">
        <f>SUMIF(Portefeuille!C:C,A22,Portefeuille!M:M)</f>
        <v>6531.624795</v>
      </c>
      <c r="C22" s="54">
        <f t="shared" si="2"/>
        <v>0.3861634274</v>
      </c>
      <c r="D22" s="55">
        <f>IFERROR((SUMIF(Portefeuille!C:C,A22,Portefeuille!M:M)-SUMIF(Portefeuille!C:C,A22,Portefeuille!J:J))/SUMIF(Portefeuille!C:C,A22,Portefeuille!J:J),"Erreur")</f>
        <v>0.1378344358</v>
      </c>
      <c r="F22" s="9" t="str">
        <f>IFERROR(__xludf.DUMMYFUNCTION("""COMPUTED_VALUE"""),"Dollars")</f>
        <v>Dollars</v>
      </c>
      <c r="G22" s="53">
        <f>SUMIF(Portefeuille!E:E,F22,Portefeuille!M:M)</f>
        <v>7862.211601</v>
      </c>
      <c r="H22" s="54">
        <f t="shared" si="3"/>
        <v>0.4648305244</v>
      </c>
      <c r="I22" s="55">
        <f>IFERROR((SUMIF(Portefeuille!E:E,F22,Portefeuille!M:M)-SUMIF(Portefeuille!E:E,F22,Portefeuille!J:J))/SUMIF(Portefeuille!E:E,F22,Portefeuille!J:J),"Erreur")</f>
        <v>0.2038481068</v>
      </c>
      <c r="K22" s="9" t="str">
        <f>IFERROR(__xludf.DUMMYFUNCTION("""COMPUTED_VALUE"""),"Interactive Broker CTO")</f>
        <v>Interactive Broker CTO</v>
      </c>
      <c r="L22" s="53">
        <f>SUMIF(Portefeuille!F:F,K22,Portefeuille!M:M)</f>
        <v>2298.034927</v>
      </c>
      <c r="M22" s="54">
        <f t="shared" si="4"/>
        <v>0.1358646694</v>
      </c>
      <c r="N22" s="55">
        <f>IFERROR((SUMIF(Portefeuille!F:F,K22,Portefeuille!M:M)-SUMIF(Portefeuille!F:F,K22,Portefeuille!J:J))/SUMIF(Portefeuille!F:F,K22,Portefeuille!J:J),"Erreur")</f>
        <v>0.10989371</v>
      </c>
    </row>
    <row r="23">
      <c r="A23" s="56" t="str">
        <f>IFERROR(__xludf.DUMMYFUNCTION("""COMPUTED_VALUE"""),"Allemagne")</f>
        <v>Allemagne</v>
      </c>
      <c r="B23" s="53">
        <f>SUMIF(Portefeuille!C:C,A23,Portefeuille!M:M)</f>
        <v>1411.55</v>
      </c>
      <c r="C23" s="54">
        <f t="shared" si="2"/>
        <v>0.08345381174</v>
      </c>
      <c r="D23" s="55">
        <f>IFERROR((SUMIF(Portefeuille!C:C,A23,Portefeuille!M:M)-SUMIF(Portefeuille!C:C,A23,Portefeuille!J:J))/SUMIF(Portefeuille!C:C,A23,Portefeuille!J:J),"Erreur")</f>
        <v>-0.07673641317</v>
      </c>
      <c r="F23" s="9" t="str">
        <f>IFERROR(__xludf.DUMMYFUNCTION("""COMPUTED_VALUE"""),"Franc Suisse")</f>
        <v>Franc Suisse</v>
      </c>
      <c r="G23" s="53">
        <f>SUMIF(Portefeuille!E:E,F23,Portefeuille!M:M)</f>
        <v>1058.50783</v>
      </c>
      <c r="H23" s="54">
        <f t="shared" si="3"/>
        <v>0.0625812144</v>
      </c>
      <c r="I23" s="55">
        <f>IFERROR((SUMIF(Portefeuille!E:E,F23,Portefeuille!M:M)-SUMIF(Portefeuille!E:E,F23,Portefeuille!J:J))/SUMIF(Portefeuille!E:E,F23,Portefeuille!J:J),"Erreur")</f>
        <v>0.08453671121</v>
      </c>
      <c r="K23" s="9" t="str">
        <f>IFERROR(__xludf.DUMMYFUNCTION("""COMPUTED_VALUE"""),"Lynx Broker CTO")</f>
        <v>Lynx Broker CTO</v>
      </c>
      <c r="L23" s="53">
        <f>SUMIF(Portefeuille!F:F,K23,Portefeuille!M:M)</f>
        <v>6531.624795</v>
      </c>
      <c r="M23" s="54">
        <f t="shared" si="4"/>
        <v>0.3861634274</v>
      </c>
      <c r="N23" s="55">
        <f>IFERROR((SUMIF(Portefeuille!F:F,K23,Portefeuille!M:M)-SUMIF(Portefeuille!F:F,K23,Portefeuille!J:J))/SUMIF(Portefeuille!F:F,K23,Portefeuille!J:J),"Erreur")</f>
        <v>0.1378344358</v>
      </c>
    </row>
    <row r="24">
      <c r="A24" s="56" t="str">
        <f>IFERROR(__xludf.DUMMYFUNCTION("""COMPUTED_VALUE"""),"Suisse")</f>
        <v>Suisse</v>
      </c>
      <c r="B24" s="53">
        <f>SUMIF(Portefeuille!C:C,A24,Portefeuille!M:M)</f>
        <v>1058.50783</v>
      </c>
      <c r="C24" s="54">
        <f t="shared" si="2"/>
        <v>0.0625812144</v>
      </c>
      <c r="D24" s="55">
        <f>IFERROR((SUMIF(Portefeuille!C:C,A24,Portefeuille!M:M)-SUMIF(Portefeuille!C:C,A24,Portefeuille!J:J))/SUMIF(Portefeuille!C:C,A24,Portefeuille!J:J),"Erreur")</f>
        <v>0.08453671121</v>
      </c>
      <c r="F24" s="57" t="str">
        <f>IFERROR(__xludf.DUMMYFUNCTION("""COMPUTED_VALUE"""),"Yen")</f>
        <v>Yen</v>
      </c>
      <c r="G24" s="53">
        <f>SUMIF(Portefeuille!E:E,F24,Portefeuille!M:M)</f>
        <v>929.132972</v>
      </c>
      <c r="H24" s="54">
        <f t="shared" si="3"/>
        <v>0.05493230004</v>
      </c>
      <c r="I24" s="55">
        <f>IFERROR((SUMIF(Portefeuille!E:E,F24,Portefeuille!M:M)-SUMIF(Portefeuille!E:E,F24,Portefeuille!J:J))/SUMIF(Portefeuille!E:E,F24,Portefeuille!J:J),"Erreur")</f>
        <v>0.07613269868</v>
      </c>
      <c r="K24" s="57" t="str">
        <f>IFERROR(__xludf.DUMMYFUNCTION("""COMPUTED_VALUE"""),"Coinbase")</f>
        <v>Coinbase</v>
      </c>
      <c r="L24" s="53">
        <f>SUMIF(Portefeuille!F:F,K24,Portefeuille!M:M)</f>
        <v>1330.586806</v>
      </c>
      <c r="M24" s="54">
        <f t="shared" si="4"/>
        <v>0.078667097</v>
      </c>
      <c r="N24" s="55">
        <f>IFERROR((SUMIF(Portefeuille!F:F,K24,Portefeuille!M:M)-SUMIF(Portefeuille!F:F,K24,Portefeuille!J:J))/SUMIF(Portefeuille!F:F,K24,Portefeuille!J:J),"Erreur")</f>
        <v>0.6832217655</v>
      </c>
    </row>
    <row r="25">
      <c r="A25" s="56" t="str">
        <f>IFERROR(__xludf.DUMMYFUNCTION("""COMPUTED_VALUE"""),"Monde")</f>
        <v>Monde</v>
      </c>
      <c r="B25" s="53">
        <f>SUMIF(Portefeuille!C:C,A25,Portefeuille!M:M)</f>
        <v>364.35</v>
      </c>
      <c r="C25" s="54">
        <f t="shared" si="2"/>
        <v>0.0215411401</v>
      </c>
      <c r="D25" s="55">
        <f>IFERROR((SUMIF(Portefeuille!C:C,A25,Portefeuille!M:M)-SUMIF(Portefeuille!C:C,A25,Portefeuille!J:J))/SUMIF(Portefeuille!C:C,A25,Portefeuille!J:J),"Erreur")</f>
        <v>0.09810126582</v>
      </c>
      <c r="F25" s="57"/>
      <c r="G25" s="53"/>
      <c r="H25" s="54"/>
      <c r="I25" s="55"/>
      <c r="K25" s="57"/>
    </row>
    <row r="26">
      <c r="A26" s="56" t="str">
        <f>IFERROR(__xludf.DUMMYFUNCTION("""COMPUTED_VALUE"""),"Crypto")</f>
        <v>Crypto</v>
      </c>
      <c r="B26" s="53">
        <f>SUMIF(Portefeuille!C:C,A26,Portefeuille!M:M)</f>
        <v>1330.586806</v>
      </c>
      <c r="C26" s="54">
        <f t="shared" si="2"/>
        <v>0.078667097</v>
      </c>
      <c r="D26" s="55">
        <f>IFERROR((SUMIF(Portefeuille!C:C,A26,Portefeuille!M:M)-SUMIF(Portefeuille!C:C,A26,Portefeuille!J:J))/SUMIF(Portefeuille!C:C,A26,Portefeuille!J:J),"Erreur")</f>
        <v>0.6832217655</v>
      </c>
    </row>
    <row r="27">
      <c r="A27" s="56" t="str">
        <f>IFERROR(__xludf.DUMMYFUNCTION("""COMPUTED_VALUE"""),"Japon")</f>
        <v>Japon</v>
      </c>
      <c r="B27" s="53">
        <f>SUMIF(Portefeuille!C:C,A27,Portefeuille!M:M)</f>
        <v>929.132972</v>
      </c>
      <c r="C27" s="54">
        <f t="shared" si="2"/>
        <v>0.05493230004</v>
      </c>
      <c r="D27" s="55">
        <f>IFERROR((SUMIF(Portefeuille!C:C,A27,Portefeuille!M:M)-SUMIF(Portefeuille!C:C,A27,Portefeuille!J:J))/SUMIF(Portefeuille!C:C,A27,Portefeuille!J:J),"Erreur")</f>
        <v>0.07613269868</v>
      </c>
    </row>
    <row r="28">
      <c r="A28" s="56"/>
      <c r="B28" s="53"/>
      <c r="C28" s="54"/>
      <c r="D28" s="55"/>
    </row>
  </sheetData>
  <mergeCells count="2">
    <mergeCell ref="F19:I19"/>
    <mergeCell ref="K19:N19"/>
  </mergeCells>
  <conditionalFormatting sqref="E2:E16 G2:G16">
    <cfRule type="cellIs" dxfId="0" priority="1" operator="greaterThan">
      <formula>0</formula>
    </cfRule>
  </conditionalFormatting>
  <conditionalFormatting sqref="E2:E16 G2:G16">
    <cfRule type="cellIs" dxfId="1" priority="2" operator="lessThan">
      <formula>0</formula>
    </cfRule>
  </conditionalFormatting>
  <conditionalFormatting sqref="E2:E16 G2:G16">
    <cfRule type="cellIs" dxfId="3" priority="3" operator="equal">
      <formula>0</formula>
    </cfRule>
  </conditionalFormatting>
  <conditionalFormatting sqref="E2:G16">
    <cfRule type="containsBlanks" dxfId="2" priority="4">
      <formula>LEN(TRIM(E2))=0</formula>
    </cfRule>
  </conditionalFormatting>
  <conditionalFormatting sqref="D20:D41 I20:I41 N20:N41">
    <cfRule type="cellIs" dxfId="0" priority="5" operator="greaterThan">
      <formula>0</formula>
    </cfRule>
  </conditionalFormatting>
  <conditionalFormatting sqref="D20:D41 I20:I41 N20:N41">
    <cfRule type="cellIs" dxfId="1" priority="6" operator="lessThan">
      <formula>0</formula>
    </cfRule>
  </conditionalFormatting>
  <conditionalFormatting sqref="D20:D41 I20:I41 N20:N41">
    <cfRule type="containsBlanks" dxfId="4" priority="7">
      <formula>LEN(TRIM(D20))=0</formula>
    </cfRule>
  </conditionalFormatting>
  <conditionalFormatting sqref="D20:D41 I20:I41 N20:N41">
    <cfRule type="cellIs" dxfId="2" priority="8" operator="equal">
      <formula>0</formula>
    </cfRule>
  </conditionalFormatting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57" t="str">
        <f>IFERROR(__xludf.DUMMYFUNCTION("importhtml(""https://fr.investing.com/crypto/currencies"",""table"",0)"),"#")</f>
        <v>#</v>
      </c>
      <c r="B1" s="57"/>
      <c r="C1" s="57" t="str">
        <f>IFERROR(__xludf.DUMMYFUNCTION("""COMPUTED_VALUE"""),"Nom")</f>
        <v>Nom</v>
      </c>
      <c r="D1" s="57" t="str">
        <f>IFERROR(__xludf.DUMMYFUNCTION("""COMPUTED_VALUE"""),"Signe")</f>
        <v>Signe</v>
      </c>
      <c r="E1" s="57" t="str">
        <f>IFERROR(__xludf.DUMMYFUNCTION("""COMPUTED_VALUE"""),"Cours (USD)")</f>
        <v>Cours (USD)</v>
      </c>
      <c r="F1" s="57" t="str">
        <f>IFERROR(__xludf.DUMMYFUNCTION("""COMPUTED_VALUE"""),"Cap. boursière")</f>
        <v>Cap. boursière</v>
      </c>
      <c r="G1" s="57" t="str">
        <f>IFERROR(__xludf.DUMMYFUNCTION("""COMPUTED_VALUE"""),"Vol. (24h)")</f>
        <v>Vol. (24h)</v>
      </c>
      <c r="H1" s="57" t="str">
        <f>IFERROR(__xludf.DUMMYFUNCTION("""COMPUTED_VALUE"""),"Vol. Total")</f>
        <v>Vol. Total</v>
      </c>
      <c r="I1" s="57" t="str">
        <f>IFERROR(__xludf.DUMMYFUNCTION("""COMPUTED_VALUE"""),"Var. (24h)")</f>
        <v>Var. (24h)</v>
      </c>
      <c r="J1" s="57" t="str">
        <f>IFERROR(__xludf.DUMMYFUNCTION("""COMPUTED_VALUE"""),"Var. (7j)")</f>
        <v>Var. (7j)</v>
      </c>
    </row>
    <row r="2">
      <c r="A2" s="57">
        <f>IFERROR(__xludf.DUMMYFUNCTION("""COMPUTED_VALUE"""),1.0)</f>
        <v>1</v>
      </c>
      <c r="B2" s="57"/>
      <c r="C2" s="57" t="str">
        <f>IFERROR(__xludf.DUMMYFUNCTION("""COMPUTED_VALUE"""),"Bitcoin")</f>
        <v>Bitcoin</v>
      </c>
      <c r="D2" s="57" t="str">
        <f>IFERROR(__xludf.DUMMYFUNCTION("""COMPUTED_VALUE"""),"BTC")</f>
        <v>BTC</v>
      </c>
      <c r="E2" s="57" t="str">
        <f>IFERROR(__xludf.DUMMYFUNCTION("""COMPUTED_VALUE"""),"46.629")</f>
        <v>46.629</v>
      </c>
      <c r="F2" s="57" t="str">
        <f>IFERROR(__xludf.DUMMYFUNCTION("""COMPUTED_VALUE"""),"871,94B $")</f>
        <v>871,94B $</v>
      </c>
      <c r="G2" s="57" t="str">
        <f>IFERROR(__xludf.DUMMYFUNCTION("""COMPUTED_VALUE"""),"29,77B $")</f>
        <v>29,77B $</v>
      </c>
      <c r="H2" s="32">
        <f>IFERROR(__xludf.DUMMYFUNCTION("""COMPUTED_VALUE"""),0.2805)</f>
        <v>0.2805</v>
      </c>
      <c r="I2" s="32">
        <f>IFERROR(__xludf.DUMMYFUNCTION("""COMPUTED_VALUE"""),-6.0E-4)</f>
        <v>-0.0006</v>
      </c>
      <c r="J2" s="57" t="str">
        <f>IFERROR(__xludf.DUMMYFUNCTION("""COMPUTED_VALUE"""),"+5,66%")</f>
        <v>+5,66%</v>
      </c>
    </row>
    <row r="3">
      <c r="A3" s="57">
        <f>IFERROR(__xludf.DUMMYFUNCTION("""COMPUTED_VALUE"""),2.0)</f>
        <v>2</v>
      </c>
      <c r="B3" s="57"/>
      <c r="C3" s="57" t="str">
        <f>IFERROR(__xludf.DUMMYFUNCTION("""COMPUTED_VALUE"""),"Ethereum")</f>
        <v>Ethereum</v>
      </c>
      <c r="D3" s="57" t="str">
        <f>IFERROR(__xludf.DUMMYFUNCTION("""COMPUTED_VALUE"""),"ETH")</f>
        <v>ETH</v>
      </c>
      <c r="E3" s="57" t="str">
        <f>IFERROR(__xludf.DUMMYFUNCTION("""COMPUTED_VALUE"""),"3.243,65")</f>
        <v>3.243,65</v>
      </c>
      <c r="F3" s="57" t="str">
        <f>IFERROR(__xludf.DUMMYFUNCTION("""COMPUTED_VALUE"""),"376,64B $")</f>
        <v>376,64B $</v>
      </c>
      <c r="G3" s="57" t="str">
        <f>IFERROR(__xludf.DUMMYFUNCTION("""COMPUTED_VALUE"""),"20,11B $")</f>
        <v>20,11B $</v>
      </c>
      <c r="H3" s="32">
        <f>IFERROR(__xludf.DUMMYFUNCTION("""COMPUTED_VALUE"""),0.1895)</f>
        <v>0.1895</v>
      </c>
      <c r="I3" s="57" t="str">
        <f>IFERROR(__xludf.DUMMYFUNCTION("""COMPUTED_VALUE"""),"+0,39%")</f>
        <v>+0,39%</v>
      </c>
      <c r="J3" s="57" t="str">
        <f>IFERROR(__xludf.DUMMYFUNCTION("""COMPUTED_VALUE"""),"+7,69%")</f>
        <v>+7,69%</v>
      </c>
    </row>
    <row r="4">
      <c r="A4" s="57">
        <f>IFERROR(__xludf.DUMMYFUNCTION("""COMPUTED_VALUE"""),3.0)</f>
        <v>3</v>
      </c>
      <c r="B4" s="57"/>
      <c r="C4" s="57" t="str">
        <f>IFERROR(__xludf.DUMMYFUNCTION("""COMPUTED_VALUE"""),"Cardano")</f>
        <v>Cardano</v>
      </c>
      <c r="D4" s="57" t="str">
        <f>IFERROR(__xludf.DUMMYFUNCTION("""COMPUTED_VALUE"""),"ADA")</f>
        <v>ADA</v>
      </c>
      <c r="E4" s="57">
        <f>IFERROR(__xludf.DUMMYFUNCTION("""COMPUTED_VALUE"""),2.167275)</f>
        <v>2.167275</v>
      </c>
      <c r="F4" s="57" t="str">
        <f>IFERROR(__xludf.DUMMYFUNCTION("""COMPUTED_VALUE"""),"69,19B $")</f>
        <v>69,19B $</v>
      </c>
      <c r="G4" s="57" t="str">
        <f>IFERROR(__xludf.DUMMYFUNCTION("""COMPUTED_VALUE"""),"5,86B $")</f>
        <v>5,86B $</v>
      </c>
      <c r="H4" s="32">
        <f>IFERROR(__xludf.DUMMYFUNCTION("""COMPUTED_VALUE"""),0.0552)</f>
        <v>0.0552</v>
      </c>
      <c r="I4" s="32">
        <f>IFERROR(__xludf.DUMMYFUNCTION("""COMPUTED_VALUE"""),-7.0E-4)</f>
        <v>-0.0007</v>
      </c>
      <c r="J4" s="57" t="str">
        <f>IFERROR(__xludf.DUMMYFUNCTION("""COMPUTED_VALUE"""),"+52,17%")</f>
        <v>+52,17%</v>
      </c>
    </row>
    <row r="5">
      <c r="A5" s="57">
        <f>IFERROR(__xludf.DUMMYFUNCTION("""COMPUTED_VALUE"""),4.0)</f>
        <v>4</v>
      </c>
      <c r="B5" s="57"/>
      <c r="C5" s="57" t="str">
        <f>IFERROR(__xludf.DUMMYFUNCTION("""COMPUTED_VALUE"""),"Binance Coin")</f>
        <v>Binance Coin</v>
      </c>
      <c r="D5" s="57" t="str">
        <f>IFERROR(__xludf.DUMMYFUNCTION("""COMPUTED_VALUE"""),"BNB")</f>
        <v>BNB</v>
      </c>
      <c r="E5" s="57">
        <f>IFERROR(__xludf.DUMMYFUNCTION("""COMPUTED_VALUE"""),408.61)</f>
        <v>408.61</v>
      </c>
      <c r="F5" s="57" t="str">
        <f>IFERROR(__xludf.DUMMYFUNCTION("""COMPUTED_VALUE"""),"68,56B $")</f>
        <v>68,56B $</v>
      </c>
      <c r="G5" s="57" t="str">
        <f>IFERROR(__xludf.DUMMYFUNCTION("""COMPUTED_VALUE"""),"1,73B $")</f>
        <v>1,73B $</v>
      </c>
      <c r="H5" s="32">
        <f>IFERROR(__xludf.DUMMYFUNCTION("""COMPUTED_VALUE"""),0.0163)</f>
        <v>0.0163</v>
      </c>
      <c r="I5" s="57" t="str">
        <f>IFERROR(__xludf.DUMMYFUNCTION("""COMPUTED_VALUE"""),"+1,24%")</f>
        <v>+1,24%</v>
      </c>
      <c r="J5" s="57" t="str">
        <f>IFERROR(__xludf.DUMMYFUNCTION("""COMPUTED_VALUE"""),"+19,72%")</f>
        <v>+19,72%</v>
      </c>
    </row>
    <row r="6">
      <c r="A6" s="57">
        <f>IFERROR(__xludf.DUMMYFUNCTION("""COMPUTED_VALUE"""),5.0)</f>
        <v>5</v>
      </c>
      <c r="B6" s="57"/>
      <c r="C6" s="57" t="str">
        <f>IFERROR(__xludf.DUMMYFUNCTION("""COMPUTED_VALUE"""),"Tether")</f>
        <v>Tether</v>
      </c>
      <c r="D6" s="57" t="str">
        <f>IFERROR(__xludf.DUMMYFUNCTION("""COMPUTED_VALUE"""),"USDT")</f>
        <v>USDT</v>
      </c>
      <c r="E6" s="57">
        <f>IFERROR(__xludf.DUMMYFUNCTION("""COMPUTED_VALUE"""),1.0005)</f>
        <v>1.0005</v>
      </c>
      <c r="F6" s="57" t="str">
        <f>IFERROR(__xludf.DUMMYFUNCTION("""COMPUTED_VALUE"""),"63,39B $")</f>
        <v>63,39B $</v>
      </c>
      <c r="G6" s="57" t="str">
        <f>IFERROR(__xludf.DUMMYFUNCTION("""COMPUTED_VALUE"""),"74,45B $")</f>
        <v>74,45B $</v>
      </c>
      <c r="H6" s="32">
        <f>IFERROR(__xludf.DUMMYFUNCTION("""COMPUTED_VALUE"""),0.7017)</f>
        <v>0.7017</v>
      </c>
      <c r="I6" s="32">
        <f>IFERROR(__xludf.DUMMYFUNCTION("""COMPUTED_VALUE"""),-2.0E-4)</f>
        <v>-0.0002</v>
      </c>
      <c r="J6" s="57" t="str">
        <f>IFERROR(__xludf.DUMMYFUNCTION("""COMPUTED_VALUE"""),"+0,06%")</f>
        <v>+0,06%</v>
      </c>
    </row>
    <row r="7">
      <c r="A7" s="57">
        <f>IFERROR(__xludf.DUMMYFUNCTION("""COMPUTED_VALUE"""),6.0)</f>
        <v>6</v>
      </c>
      <c r="B7" s="57"/>
      <c r="C7" s="57" t="str">
        <f>IFERROR(__xludf.DUMMYFUNCTION("""COMPUTED_VALUE"""),"XRP")</f>
        <v>XRP</v>
      </c>
      <c r="D7" s="57" t="str">
        <f>IFERROR(__xludf.DUMMYFUNCTION("""COMPUTED_VALUE"""),"XRP")</f>
        <v>XRP</v>
      </c>
      <c r="E7" s="57">
        <f>IFERROR(__xludf.DUMMYFUNCTION("""COMPUTED_VALUE"""),1.30873)</f>
        <v>1.30873</v>
      </c>
      <c r="F7" s="57" t="str">
        <f>IFERROR(__xludf.DUMMYFUNCTION("""COMPUTED_VALUE"""),"60,15B $")</f>
        <v>60,15B $</v>
      </c>
      <c r="G7" s="57" t="str">
        <f>IFERROR(__xludf.DUMMYFUNCTION("""COMPUTED_VALUE"""),"11,75B $")</f>
        <v>11,75B $</v>
      </c>
      <c r="H7" s="32">
        <f>IFERROR(__xludf.DUMMYFUNCTION("""COMPUTED_VALUE"""),0.1108)</f>
        <v>0.1108</v>
      </c>
      <c r="I7" s="57" t="str">
        <f>IFERROR(__xludf.DUMMYFUNCTION("""COMPUTED_VALUE"""),"+8,39%")</f>
        <v>+8,39%</v>
      </c>
      <c r="J7" s="57" t="str">
        <f>IFERROR(__xludf.DUMMYFUNCTION("""COMPUTED_VALUE"""),"+65,47%")</f>
        <v>+65,47%</v>
      </c>
    </row>
    <row r="8">
      <c r="A8" s="57">
        <f>IFERROR(__xludf.DUMMYFUNCTION("""COMPUTED_VALUE"""),7.0)</f>
        <v>7</v>
      </c>
      <c r="B8" s="57"/>
      <c r="C8" s="57" t="str">
        <f>IFERROR(__xludf.DUMMYFUNCTION("""COMPUTED_VALUE"""),"Dogecoin")</f>
        <v>Dogecoin</v>
      </c>
      <c r="D8" s="57" t="str">
        <f>IFERROR(__xludf.DUMMYFUNCTION("""COMPUTED_VALUE"""),"DOGE")</f>
        <v>DOGE</v>
      </c>
      <c r="E8" s="57">
        <f>IFERROR(__xludf.DUMMYFUNCTION("""COMPUTED_VALUE"""),0.316174)</f>
        <v>0.316174</v>
      </c>
      <c r="F8" s="57" t="str">
        <f>IFERROR(__xludf.DUMMYFUNCTION("""COMPUTED_VALUE"""),"41,92B $")</f>
        <v>41,92B $</v>
      </c>
      <c r="G8" s="57" t="str">
        <f>IFERROR(__xludf.DUMMYFUNCTION("""COMPUTED_VALUE"""),"6,21B $")</f>
        <v>6,21B $</v>
      </c>
      <c r="H8" s="32">
        <f>IFERROR(__xludf.DUMMYFUNCTION("""COMPUTED_VALUE"""),0.0585)</f>
        <v>0.0585</v>
      </c>
      <c r="I8" s="57" t="str">
        <f>IFERROR(__xludf.DUMMYFUNCTION("""COMPUTED_VALUE"""),"+11,05%")</f>
        <v>+11,05%</v>
      </c>
      <c r="J8" s="57" t="str">
        <f>IFERROR(__xludf.DUMMYFUNCTION("""COMPUTED_VALUE"""),"+32,95%")</f>
        <v>+32,95%</v>
      </c>
    </row>
    <row r="9">
      <c r="A9" s="57">
        <f>IFERROR(__xludf.DUMMYFUNCTION("""COMPUTED_VALUE"""),8.0)</f>
        <v>8</v>
      </c>
      <c r="B9" s="57"/>
      <c r="C9" s="57" t="str">
        <f>IFERROR(__xludf.DUMMYFUNCTION("""COMPUTED_VALUE"""),"USD Coin")</f>
        <v>USD Coin</v>
      </c>
      <c r="D9" s="57" t="str">
        <f>IFERROR(__xludf.DUMMYFUNCTION("""COMPUTED_VALUE"""),"USDC")</f>
        <v>USDC</v>
      </c>
      <c r="E9" s="57">
        <f>IFERROR(__xludf.DUMMYFUNCTION("""COMPUTED_VALUE"""),0.999277)</f>
        <v>0.999277</v>
      </c>
      <c r="F9" s="57" t="str">
        <f>IFERROR(__xludf.DUMMYFUNCTION("""COMPUTED_VALUE"""),"27,64B $")</f>
        <v>27,64B $</v>
      </c>
      <c r="G9" s="57" t="str">
        <f>IFERROR(__xludf.DUMMYFUNCTION("""COMPUTED_VALUE"""),"2,31B $")</f>
        <v>2,31B $</v>
      </c>
      <c r="H9" s="32">
        <f>IFERROR(__xludf.DUMMYFUNCTION("""COMPUTED_VALUE"""),0.0217)</f>
        <v>0.0217</v>
      </c>
      <c r="I9" s="57" t="str">
        <f>IFERROR(__xludf.DUMMYFUNCTION("""COMPUTED_VALUE"""),"+0,01%")</f>
        <v>+0,01%</v>
      </c>
      <c r="J9" s="57" t="str">
        <f>IFERROR(__xludf.DUMMYFUNCTION("""COMPUTED_VALUE"""),"+0,02%")</f>
        <v>+0,02%</v>
      </c>
    </row>
    <row r="10">
      <c r="A10" s="57">
        <f>IFERROR(__xludf.DUMMYFUNCTION("""COMPUTED_VALUE"""),9.0)</f>
        <v>9</v>
      </c>
      <c r="B10" s="57"/>
      <c r="C10" s="57" t="str">
        <f>IFERROR(__xludf.DUMMYFUNCTION("""COMPUTED_VALUE"""),"Polkadot")</f>
        <v>Polkadot</v>
      </c>
      <c r="D10" s="57" t="str">
        <f>IFERROR(__xludf.DUMMYFUNCTION("""COMPUTED_VALUE"""),"DOT")</f>
        <v>DOT</v>
      </c>
      <c r="E10" s="57">
        <f>IFERROR(__xludf.DUMMYFUNCTION("""COMPUTED_VALUE"""),22.87)</f>
        <v>22.87</v>
      </c>
      <c r="F10" s="57" t="str">
        <f>IFERROR(__xludf.DUMMYFUNCTION("""COMPUTED_VALUE"""),"22,49B $")</f>
        <v>22,49B $</v>
      </c>
      <c r="G10" s="57" t="str">
        <f>IFERROR(__xludf.DUMMYFUNCTION("""COMPUTED_VALUE"""),"1,21B $")</f>
        <v>1,21B $</v>
      </c>
      <c r="H10" s="32">
        <f>IFERROR(__xludf.DUMMYFUNCTION("""COMPUTED_VALUE"""),0.0114)</f>
        <v>0.0114</v>
      </c>
      <c r="I10" s="57" t="str">
        <f>IFERROR(__xludf.DUMMYFUNCTION("""COMPUTED_VALUE"""),"+0,71%")</f>
        <v>+0,71%</v>
      </c>
      <c r="J10" s="57" t="str">
        <f>IFERROR(__xludf.DUMMYFUNCTION("""COMPUTED_VALUE"""),"+16,64%")</f>
        <v>+16,64%</v>
      </c>
    </row>
    <row r="11">
      <c r="A11" s="57">
        <f>IFERROR(__xludf.DUMMYFUNCTION("""COMPUTED_VALUE"""),10.0)</f>
        <v>10</v>
      </c>
      <c r="B11" s="57"/>
      <c r="C11" s="57" t="str">
        <f>IFERROR(__xludf.DUMMYFUNCTION("""COMPUTED_VALUE"""),"Uniswap")</f>
        <v>Uniswap</v>
      </c>
      <c r="D11" s="57" t="str">
        <f>IFERROR(__xludf.DUMMYFUNCTION("""COMPUTED_VALUE"""),"UNI")</f>
        <v>UNI</v>
      </c>
      <c r="E11" s="57">
        <f>IFERROR(__xludf.DUMMYFUNCTION("""COMPUTED_VALUE"""),29.501)</f>
        <v>29.501</v>
      </c>
      <c r="F11" s="57" t="str">
        <f>IFERROR(__xludf.DUMMYFUNCTION("""COMPUTED_VALUE"""),"17,27B $")</f>
        <v>17,27B $</v>
      </c>
      <c r="G11" s="57" t="str">
        <f>IFERROR(__xludf.DUMMYFUNCTION("""COMPUTED_VALUE"""),"397,72M $")</f>
        <v>397,72M $</v>
      </c>
      <c r="H11" s="32">
        <f>IFERROR(__xludf.DUMMYFUNCTION("""COMPUTED_VALUE"""),0.0037)</f>
        <v>0.0037</v>
      </c>
      <c r="I11" s="32">
        <f>IFERROR(__xludf.DUMMYFUNCTION("""COMPUTED_VALUE"""),-0.0047)</f>
        <v>-0.0047</v>
      </c>
      <c r="J11" s="57" t="str">
        <f>IFERROR(__xludf.DUMMYFUNCTION("""COMPUTED_VALUE"""),"+11,84%")</f>
        <v>+11,84%</v>
      </c>
    </row>
    <row r="12">
      <c r="A12" s="57">
        <f>IFERROR(__xludf.DUMMYFUNCTION("""COMPUTED_VALUE"""),11.0)</f>
        <v>11</v>
      </c>
      <c r="B12" s="57"/>
      <c r="C12" s="57" t="str">
        <f>IFERROR(__xludf.DUMMYFUNCTION("""COMPUTED_VALUE"""),"Solana")</f>
        <v>Solana</v>
      </c>
      <c r="D12" s="57" t="str">
        <f>IFERROR(__xludf.DUMMYFUNCTION("""COMPUTED_VALUE"""),"SOL")</f>
        <v>SOL</v>
      </c>
      <c r="E12" s="57">
        <f>IFERROR(__xludf.DUMMYFUNCTION("""COMPUTED_VALUE"""),52.32)</f>
        <v>52.32</v>
      </c>
      <c r="F12" s="57" t="str">
        <f>IFERROR(__xludf.DUMMYFUNCTION("""COMPUTED_VALUE"""),"15,00B $")</f>
        <v>15,00B $</v>
      </c>
      <c r="G12" s="57" t="str">
        <f>IFERROR(__xludf.DUMMYFUNCTION("""COMPUTED_VALUE"""),"1,21B $")</f>
        <v>1,21B $</v>
      </c>
      <c r="H12" s="32">
        <f>IFERROR(__xludf.DUMMYFUNCTION("""COMPUTED_VALUE"""),0.0114)</f>
        <v>0.0114</v>
      </c>
      <c r="I12" s="57" t="str">
        <f>IFERROR(__xludf.DUMMYFUNCTION("""COMPUTED_VALUE"""),"+20,58%")</f>
        <v>+20,58%</v>
      </c>
      <c r="J12" s="57" t="str">
        <f>IFERROR(__xludf.DUMMYFUNCTION("""COMPUTED_VALUE"""),"+39,76%")</f>
        <v>+39,76%</v>
      </c>
    </row>
    <row r="13">
      <c r="A13" s="57">
        <f>IFERROR(__xludf.DUMMYFUNCTION("""COMPUTED_VALUE"""),12.0)</f>
        <v>12</v>
      </c>
      <c r="B13" s="57"/>
      <c r="C13" s="57" t="str">
        <f>IFERROR(__xludf.DUMMYFUNCTION("""COMPUTED_VALUE"""),"Bitcoin Cash")</f>
        <v>Bitcoin Cash</v>
      </c>
      <c r="D13" s="57" t="str">
        <f>IFERROR(__xludf.DUMMYFUNCTION("""COMPUTED_VALUE"""),"BCH")</f>
        <v>BCH</v>
      </c>
      <c r="E13" s="57">
        <f>IFERROR(__xludf.DUMMYFUNCTION("""COMPUTED_VALUE"""),692.61)</f>
        <v>692.61</v>
      </c>
      <c r="F13" s="57" t="str">
        <f>IFERROR(__xludf.DUMMYFUNCTION("""COMPUTED_VALUE"""),"13,01B $")</f>
        <v>13,01B $</v>
      </c>
      <c r="G13" s="57" t="str">
        <f>IFERROR(__xludf.DUMMYFUNCTION("""COMPUTED_VALUE"""),"2,67B $")</f>
        <v>2,67B $</v>
      </c>
      <c r="H13" s="32">
        <f>IFERROR(__xludf.DUMMYFUNCTION("""COMPUTED_VALUE"""),0.0252)</f>
        <v>0.0252</v>
      </c>
      <c r="I13" s="57" t="str">
        <f>IFERROR(__xludf.DUMMYFUNCTION("""COMPUTED_VALUE"""),"+4,26%")</f>
        <v>+4,26%</v>
      </c>
      <c r="J13" s="57" t="str">
        <f>IFERROR(__xludf.DUMMYFUNCTION("""COMPUTED_VALUE"""),"+23,34%")</f>
        <v>+23,34%</v>
      </c>
    </row>
    <row r="14">
      <c r="A14" s="57">
        <f>IFERROR(__xludf.DUMMYFUNCTION("""COMPUTED_VALUE"""),13.0)</f>
        <v>13</v>
      </c>
      <c r="B14" s="57"/>
      <c r="C14" s="57" t="str">
        <f>IFERROR(__xludf.DUMMYFUNCTION("""COMPUTED_VALUE"""),"Litecoin")</f>
        <v>Litecoin</v>
      </c>
      <c r="D14" s="57" t="str">
        <f>IFERROR(__xludf.DUMMYFUNCTION("""COMPUTED_VALUE"""),"LTC")</f>
        <v>LTC</v>
      </c>
      <c r="E14" s="57">
        <f>IFERROR(__xludf.DUMMYFUNCTION("""COMPUTED_VALUE"""),182.743)</f>
        <v>182.743</v>
      </c>
      <c r="F14" s="57" t="str">
        <f>IFERROR(__xludf.DUMMYFUNCTION("""COMPUTED_VALUE"""),"12,17B $")</f>
        <v>12,17B $</v>
      </c>
      <c r="G14" s="57" t="str">
        <f>IFERROR(__xludf.DUMMYFUNCTION("""COMPUTED_VALUE"""),"2,46B $")</f>
        <v>2,46B $</v>
      </c>
      <c r="H14" s="32">
        <f>IFERROR(__xludf.DUMMYFUNCTION("""COMPUTED_VALUE"""),0.0231)</f>
        <v>0.0231</v>
      </c>
      <c r="I14" s="57" t="str">
        <f>IFERROR(__xludf.DUMMYFUNCTION("""COMPUTED_VALUE"""),"+2,20%")</f>
        <v>+2,20%</v>
      </c>
      <c r="J14" s="57" t="str">
        <f>IFERROR(__xludf.DUMMYFUNCTION("""COMPUTED_VALUE"""),"+21,97%")</f>
        <v>+21,97%</v>
      </c>
    </row>
    <row r="15">
      <c r="A15" s="57">
        <f>IFERROR(__xludf.DUMMYFUNCTION("""COMPUTED_VALUE"""),14.0)</f>
        <v>14</v>
      </c>
      <c r="B15" s="57"/>
      <c r="C15" s="57" t="str">
        <f>IFERROR(__xludf.DUMMYFUNCTION("""COMPUTED_VALUE"""),"Binance USD")</f>
        <v>Binance USD</v>
      </c>
      <c r="D15" s="57" t="str">
        <f>IFERROR(__xludf.DUMMYFUNCTION("""COMPUTED_VALUE"""),"BUSD")</f>
        <v>BUSD</v>
      </c>
      <c r="E15" s="57">
        <f>IFERROR(__xludf.DUMMYFUNCTION("""COMPUTED_VALUE"""),0.9992)</f>
        <v>0.9992</v>
      </c>
      <c r="F15" s="57" t="str">
        <f>IFERROR(__xludf.DUMMYFUNCTION("""COMPUTED_VALUE"""),"12,05B $")</f>
        <v>12,05B $</v>
      </c>
      <c r="G15" s="57" t="str">
        <f>IFERROR(__xludf.DUMMYFUNCTION("""COMPUTED_VALUE"""),"4,49B $")</f>
        <v>4,49B $</v>
      </c>
      <c r="H15" s="32">
        <f>IFERROR(__xludf.DUMMYFUNCTION("""COMPUTED_VALUE"""),0.0423)</f>
        <v>0.0423</v>
      </c>
      <c r="I15" s="32">
        <f>IFERROR(__xludf.DUMMYFUNCTION("""COMPUTED_VALUE"""),-1.0E-4)</f>
        <v>-0.0001</v>
      </c>
      <c r="J15" s="57" t="str">
        <f>IFERROR(__xludf.DUMMYFUNCTION("""COMPUTED_VALUE"""),"+0,03%")</f>
        <v>+0,03%</v>
      </c>
    </row>
    <row r="16">
      <c r="A16" s="57">
        <f>IFERROR(__xludf.DUMMYFUNCTION("""COMPUTED_VALUE"""),15.0)</f>
        <v>15</v>
      </c>
      <c r="B16" s="57"/>
      <c r="C16" s="57" t="str">
        <f>IFERROR(__xludf.DUMMYFUNCTION("""COMPUTED_VALUE"""),"Chainlink")</f>
        <v>Chainlink</v>
      </c>
      <c r="D16" s="57" t="str">
        <f>IFERROR(__xludf.DUMMYFUNCTION("""COMPUTED_VALUE"""),"LINK")</f>
        <v>LINK</v>
      </c>
      <c r="E16" s="57">
        <f>IFERROR(__xludf.DUMMYFUNCTION("""COMPUTED_VALUE"""),27.06)</f>
        <v>27.06</v>
      </c>
      <c r="F16" s="57" t="str">
        <f>IFERROR(__xludf.DUMMYFUNCTION("""COMPUTED_VALUE"""),"12,04B $")</f>
        <v>12,04B $</v>
      </c>
      <c r="G16" s="57" t="str">
        <f>IFERROR(__xludf.DUMMYFUNCTION("""COMPUTED_VALUE"""),"980,20M $")</f>
        <v>980,20M $</v>
      </c>
      <c r="H16" s="32">
        <f>IFERROR(__xludf.DUMMYFUNCTION("""COMPUTED_VALUE"""),0.0092)</f>
        <v>0.0092</v>
      </c>
      <c r="I16" s="57" t="str">
        <f>IFERROR(__xludf.DUMMYFUNCTION("""COMPUTED_VALUE"""),"+1,54%")</f>
        <v>+1,54%</v>
      </c>
      <c r="J16" s="57" t="str">
        <f>IFERROR(__xludf.DUMMYFUNCTION("""COMPUTED_VALUE"""),"+19,38%")</f>
        <v>+19,38%</v>
      </c>
    </row>
    <row r="17">
      <c r="A17" s="57">
        <f>IFERROR(__xludf.DUMMYFUNCTION("""COMPUTED_VALUE"""),16.0)</f>
        <v>16</v>
      </c>
      <c r="B17" s="57"/>
      <c r="C17" s="57" t="str">
        <f>IFERROR(__xludf.DUMMYFUNCTION("""COMPUTED_VALUE"""),"Ethereum Classic")</f>
        <v>Ethereum Classic</v>
      </c>
      <c r="D17" s="57" t="str">
        <f>IFERROR(__xludf.DUMMYFUNCTION("""COMPUTED_VALUE"""),"ETC")</f>
        <v>ETC</v>
      </c>
      <c r="E17" s="57">
        <f>IFERROR(__xludf.DUMMYFUNCTION("""COMPUTED_VALUE"""),74.584)</f>
        <v>74.584</v>
      </c>
      <c r="F17" s="57" t="str">
        <f>IFERROR(__xludf.DUMMYFUNCTION("""COMPUTED_VALUE"""),"9,57B $")</f>
        <v>9,57B $</v>
      </c>
      <c r="G17" s="57" t="str">
        <f>IFERROR(__xludf.DUMMYFUNCTION("""COMPUTED_VALUE"""),"6,24B $")</f>
        <v>6,24B $</v>
      </c>
      <c r="H17" s="32">
        <f>IFERROR(__xludf.DUMMYFUNCTION("""COMPUTED_VALUE"""),0.0588)</f>
        <v>0.0588</v>
      </c>
      <c r="I17" s="57" t="str">
        <f>IFERROR(__xludf.DUMMYFUNCTION("""COMPUTED_VALUE"""),"+14,21%")</f>
        <v>+14,21%</v>
      </c>
      <c r="J17" s="57" t="str">
        <f>IFERROR(__xludf.DUMMYFUNCTION("""COMPUTED_VALUE"""),"+30,44%")</f>
        <v>+30,44%</v>
      </c>
    </row>
    <row r="18">
      <c r="A18" s="57">
        <f>IFERROR(__xludf.DUMMYFUNCTION("""COMPUTED_VALUE"""),17.0)</f>
        <v>17</v>
      </c>
      <c r="B18" s="57"/>
      <c r="C18" s="57" t="str">
        <f>IFERROR(__xludf.DUMMYFUNCTION("""COMPUTED_VALUE"""),"Polygon")</f>
        <v>Polygon</v>
      </c>
      <c r="D18" s="57" t="str">
        <f>IFERROR(__xludf.DUMMYFUNCTION("""COMPUTED_VALUE"""),"MATIC")</f>
        <v>MATIC</v>
      </c>
      <c r="E18" s="57">
        <f>IFERROR(__xludf.DUMMYFUNCTION("""COMPUTED_VALUE"""),1.45987)</f>
        <v>1.45987</v>
      </c>
      <c r="F18" s="57" t="str">
        <f>IFERROR(__xludf.DUMMYFUNCTION("""COMPUTED_VALUE"""),"9,41B $")</f>
        <v>9,41B $</v>
      </c>
      <c r="G18" s="57" t="str">
        <f>IFERROR(__xludf.DUMMYFUNCTION("""COMPUTED_VALUE"""),"812,11M $")</f>
        <v>812,11M $</v>
      </c>
      <c r="H18" s="32">
        <f>IFERROR(__xludf.DUMMYFUNCTION("""COMPUTED_VALUE"""),0.0077)</f>
        <v>0.0077</v>
      </c>
      <c r="I18" s="57" t="str">
        <f>IFERROR(__xludf.DUMMYFUNCTION("""COMPUTED_VALUE"""),"+0,42%")</f>
        <v>+0,42%</v>
      </c>
      <c r="J18" s="57" t="str">
        <f>IFERROR(__xludf.DUMMYFUNCTION("""COMPUTED_VALUE"""),"+34,23%")</f>
        <v>+34,23%</v>
      </c>
    </row>
    <row r="19">
      <c r="A19" s="57">
        <f>IFERROR(__xludf.DUMMYFUNCTION("""COMPUTED_VALUE"""),18.0)</f>
        <v>18</v>
      </c>
      <c r="B19" s="57"/>
      <c r="C19" s="57" t="str">
        <f>IFERROR(__xludf.DUMMYFUNCTION("""COMPUTED_VALUE"""),"Wrapped Bitcoin")</f>
        <v>Wrapped Bitcoin</v>
      </c>
      <c r="D19" s="57" t="str">
        <f>IFERROR(__xludf.DUMMYFUNCTION("""COMPUTED_VALUE"""),"WBTC")</f>
        <v>WBTC</v>
      </c>
      <c r="E19" s="57" t="str">
        <f>IFERROR(__xludf.DUMMYFUNCTION("""COMPUTED_VALUE"""),"46.676")</f>
        <v>46.676</v>
      </c>
      <c r="F19" s="57" t="str">
        <f>IFERROR(__xludf.DUMMYFUNCTION("""COMPUTED_VALUE"""),"9,06B $")</f>
        <v>9,06B $</v>
      </c>
      <c r="G19" s="57" t="str">
        <f>IFERROR(__xludf.DUMMYFUNCTION("""COMPUTED_VALUE"""),"227,41M $")</f>
        <v>227,41M $</v>
      </c>
      <c r="H19" s="32">
        <f>IFERROR(__xludf.DUMMYFUNCTION("""COMPUTED_VALUE"""),0.0021)</f>
        <v>0.0021</v>
      </c>
      <c r="I19" s="32">
        <f>IFERROR(__xludf.DUMMYFUNCTION("""COMPUTED_VALUE"""),-0.0071)</f>
        <v>-0.0071</v>
      </c>
      <c r="J19" s="57" t="str">
        <f>IFERROR(__xludf.DUMMYFUNCTION("""COMPUTED_VALUE"""),"+5,92%")</f>
        <v>+5,92%</v>
      </c>
    </row>
    <row r="20">
      <c r="A20" s="57">
        <f>IFERROR(__xludf.DUMMYFUNCTION("""COMPUTED_VALUE"""),19.0)</f>
        <v>19</v>
      </c>
      <c r="B20" s="57"/>
      <c r="C20" s="57" t="str">
        <f>IFERROR(__xludf.DUMMYFUNCTION("""COMPUTED_VALUE"""),"Stellar")</f>
        <v>Stellar</v>
      </c>
      <c r="D20" s="57" t="str">
        <f>IFERROR(__xludf.DUMMYFUNCTION("""COMPUTED_VALUE"""),"XLM")</f>
        <v>XLM</v>
      </c>
      <c r="E20" s="57">
        <f>IFERROR(__xludf.DUMMYFUNCTION("""COMPUTED_VALUE"""),0.38722)</f>
        <v>0.38722</v>
      </c>
      <c r="F20" s="57" t="str">
        <f>IFERROR(__xludf.DUMMYFUNCTION("""COMPUTED_VALUE"""),"9,05B $")</f>
        <v>9,05B $</v>
      </c>
      <c r="G20" s="57" t="str">
        <f>IFERROR(__xludf.DUMMYFUNCTION("""COMPUTED_VALUE"""),"1,39B $")</f>
        <v>1,39B $</v>
      </c>
      <c r="H20" s="32">
        <f>IFERROR(__xludf.DUMMYFUNCTION("""COMPUTED_VALUE"""),0.0131)</f>
        <v>0.0131</v>
      </c>
      <c r="I20" s="57" t="str">
        <f>IFERROR(__xludf.DUMMYFUNCTION("""COMPUTED_VALUE"""),"+4,78%")</f>
        <v>+4,78%</v>
      </c>
      <c r="J20" s="57" t="str">
        <f>IFERROR(__xludf.DUMMYFUNCTION("""COMPUTED_VALUE"""),"+33,22%")</f>
        <v>+33,22%</v>
      </c>
    </row>
    <row r="21">
      <c r="A21" s="57">
        <f>IFERROR(__xludf.DUMMYFUNCTION("""COMPUTED_VALUE"""),20.0)</f>
        <v>20</v>
      </c>
      <c r="B21" s="57"/>
      <c r="C21" s="57" t="str">
        <f>IFERROR(__xludf.DUMMYFUNCTION("""COMPUTED_VALUE"""),"VeChain")</f>
        <v>VeChain</v>
      </c>
      <c r="D21" s="57" t="str">
        <f>IFERROR(__xludf.DUMMYFUNCTION("""COMPUTED_VALUE"""),"VET")</f>
        <v>VET</v>
      </c>
      <c r="E21" s="57">
        <f>IFERROR(__xludf.DUMMYFUNCTION("""COMPUTED_VALUE"""),0.135462)</f>
        <v>0.135462</v>
      </c>
      <c r="F21" s="57" t="str">
        <f>IFERROR(__xludf.DUMMYFUNCTION("""COMPUTED_VALUE"""),"8,62B $")</f>
        <v>8,62B $</v>
      </c>
      <c r="G21" s="57" t="str">
        <f>IFERROR(__xludf.DUMMYFUNCTION("""COMPUTED_VALUE"""),"1,27B $")</f>
        <v>1,27B $</v>
      </c>
      <c r="H21" s="32">
        <f>IFERROR(__xludf.DUMMYFUNCTION("""COMPUTED_VALUE"""),0.0119)</f>
        <v>0.0119</v>
      </c>
      <c r="I21" s="57" t="str">
        <f>IFERROR(__xludf.DUMMYFUNCTION("""COMPUTED_VALUE"""),"+2,84%")</f>
        <v>+2,84%</v>
      </c>
      <c r="J21" s="57" t="str">
        <f>IFERROR(__xludf.DUMMYFUNCTION("""COMPUTED_VALUE"""),"+33,18%")</f>
        <v>+33,18%</v>
      </c>
    </row>
    <row r="22">
      <c r="A22" s="57">
        <f>IFERROR(__xludf.DUMMYFUNCTION("""COMPUTED_VALUE"""),21.0)</f>
        <v>21</v>
      </c>
      <c r="B22" s="57"/>
      <c r="C22" s="57" t="str">
        <f>IFERROR(__xludf.DUMMYFUNCTION("""COMPUTED_VALUE"""),"Internet Computer")</f>
        <v>Internet Computer</v>
      </c>
      <c r="D22" s="57" t="str">
        <f>IFERROR(__xludf.DUMMYFUNCTION("""COMPUTED_VALUE"""),"ICP")</f>
        <v>ICP</v>
      </c>
      <c r="E22" s="57">
        <f>IFERROR(__xludf.DUMMYFUNCTION("""COMPUTED_VALUE"""),61.04)</f>
        <v>61.04</v>
      </c>
      <c r="F22" s="57" t="str">
        <f>IFERROR(__xludf.DUMMYFUNCTION("""COMPUTED_VALUE"""),"8,33B $")</f>
        <v>8,33B $</v>
      </c>
      <c r="G22" s="57" t="str">
        <f>IFERROR(__xludf.DUMMYFUNCTION("""COMPUTED_VALUE"""),"405,49M $")</f>
        <v>405,49M $</v>
      </c>
      <c r="H22" s="32">
        <f>IFERROR(__xludf.DUMMYFUNCTION("""COMPUTED_VALUE"""),0.0038)</f>
        <v>0.0038</v>
      </c>
      <c r="I22" s="32">
        <f>IFERROR(__xludf.DUMMYFUNCTION("""COMPUTED_VALUE"""),-0.0477)</f>
        <v>-0.0477</v>
      </c>
      <c r="J22" s="57" t="str">
        <f>IFERROR(__xludf.DUMMYFUNCTION("""COMPUTED_VALUE"""),"+10,58%")</f>
        <v>+10,58%</v>
      </c>
    </row>
    <row r="23">
      <c r="A23" s="57">
        <f>IFERROR(__xludf.DUMMYFUNCTION("""COMPUTED_VALUE"""),22.0)</f>
        <v>22</v>
      </c>
      <c r="B23" s="57"/>
      <c r="C23" s="57" t="str">
        <f>IFERROR(__xludf.DUMMYFUNCTION("""COMPUTED_VALUE"""),"Terra")</f>
        <v>Terra</v>
      </c>
      <c r="D23" s="57" t="str">
        <f>IFERROR(__xludf.DUMMYFUNCTION("""COMPUTED_VALUE"""),"LUNA")</f>
        <v>LUNA</v>
      </c>
      <c r="E23" s="57">
        <f>IFERROR(__xludf.DUMMYFUNCTION("""COMPUTED_VALUE"""),19.168)</f>
        <v>19.168</v>
      </c>
      <c r="F23" s="57" t="str">
        <f>IFERROR(__xludf.DUMMYFUNCTION("""COMPUTED_VALUE"""),"7,79B $")</f>
        <v>7,79B $</v>
      </c>
      <c r="G23" s="57" t="str">
        <f>IFERROR(__xludf.DUMMYFUNCTION("""COMPUTED_VALUE"""),"377,10M $")</f>
        <v>377,10M $</v>
      </c>
      <c r="H23" s="32">
        <f>IFERROR(__xludf.DUMMYFUNCTION("""COMPUTED_VALUE"""),0.0036)</f>
        <v>0.0036</v>
      </c>
      <c r="I23" s="57" t="str">
        <f>IFERROR(__xludf.DUMMYFUNCTION("""COMPUTED_VALUE"""),"+11,92%")</f>
        <v>+11,92%</v>
      </c>
      <c r="J23" s="57" t="str">
        <f>IFERROR(__xludf.DUMMYFUNCTION("""COMPUTED_VALUE"""),"+41,43%")</f>
        <v>+41,43%</v>
      </c>
    </row>
    <row r="24">
      <c r="A24" s="57">
        <f>IFERROR(__xludf.DUMMYFUNCTION("""COMPUTED_VALUE"""),23.0)</f>
        <v>23</v>
      </c>
      <c r="B24" s="57"/>
      <c r="C24" s="57" t="str">
        <f>IFERROR(__xludf.DUMMYFUNCTION("""COMPUTED_VALUE"""),"THETA")</f>
        <v>THETA</v>
      </c>
      <c r="D24" s="57" t="str">
        <f>IFERROR(__xludf.DUMMYFUNCTION("""COMPUTED_VALUE"""),"THETA")</f>
        <v>THETA</v>
      </c>
      <c r="E24" s="57">
        <f>IFERROR(__xludf.DUMMYFUNCTION("""COMPUTED_VALUE"""),7.4431)</f>
        <v>7.4431</v>
      </c>
      <c r="F24" s="57" t="str">
        <f>IFERROR(__xludf.DUMMYFUNCTION("""COMPUTED_VALUE"""),"7,43B $")</f>
        <v>7,43B $</v>
      </c>
      <c r="G24" s="57" t="str">
        <f>IFERROR(__xludf.DUMMYFUNCTION("""COMPUTED_VALUE"""),"343,68M $")</f>
        <v>343,68M $</v>
      </c>
      <c r="H24" s="32">
        <f>IFERROR(__xludf.DUMMYFUNCTION("""COMPUTED_VALUE"""),0.0032)</f>
        <v>0.0032</v>
      </c>
      <c r="I24" s="57" t="str">
        <f>IFERROR(__xludf.DUMMYFUNCTION("""COMPUTED_VALUE"""),"+4,77%")</f>
        <v>+4,77%</v>
      </c>
      <c r="J24" s="57" t="str">
        <f>IFERROR(__xludf.DUMMYFUNCTION("""COMPUTED_VALUE"""),"+17,23%")</f>
        <v>+17,23%</v>
      </c>
    </row>
    <row r="25">
      <c r="A25" s="57">
        <f>IFERROR(__xludf.DUMMYFUNCTION("""COMPUTED_VALUE"""),24.0)</f>
        <v>24</v>
      </c>
      <c r="B25" s="57"/>
      <c r="C25" s="57" t="str">
        <f>IFERROR(__xludf.DUMMYFUNCTION("""COMPUTED_VALUE"""),"Filecoin")</f>
        <v>Filecoin</v>
      </c>
      <c r="D25" s="57" t="str">
        <f>IFERROR(__xludf.DUMMYFUNCTION("""COMPUTED_VALUE"""),"FIL")</f>
        <v>FIL</v>
      </c>
      <c r="E25" s="57">
        <f>IFERROR(__xludf.DUMMYFUNCTION("""COMPUTED_VALUE"""),72.39)</f>
        <v>72.39</v>
      </c>
      <c r="F25" s="57" t="str">
        <f>IFERROR(__xludf.DUMMYFUNCTION("""COMPUTED_VALUE"""),"6,93B $")</f>
        <v>6,93B $</v>
      </c>
      <c r="G25" s="57" t="str">
        <f>IFERROR(__xludf.DUMMYFUNCTION("""COMPUTED_VALUE"""),"629,05M $")</f>
        <v>629,05M $</v>
      </c>
      <c r="H25" s="32">
        <f>IFERROR(__xludf.DUMMYFUNCTION("""COMPUTED_VALUE"""),0.0059)</f>
        <v>0.0059</v>
      </c>
      <c r="I25" s="57" t="str">
        <f>IFERROR(__xludf.DUMMYFUNCTION("""COMPUTED_VALUE"""),"+0,73%")</f>
        <v>+0,73%</v>
      </c>
      <c r="J25" s="57" t="str">
        <f>IFERROR(__xludf.DUMMYFUNCTION("""COMPUTED_VALUE"""),"+9,94%")</f>
        <v>+9,94%</v>
      </c>
    </row>
    <row r="26">
      <c r="A26" s="57">
        <f>IFERROR(__xludf.DUMMYFUNCTION("""COMPUTED_VALUE"""),25.0)</f>
        <v>25</v>
      </c>
      <c r="B26" s="57"/>
      <c r="C26" s="57" t="str">
        <f>IFERROR(__xludf.DUMMYFUNCTION("""COMPUTED_VALUE"""),"TRON")</f>
        <v>TRON</v>
      </c>
      <c r="D26" s="57" t="str">
        <f>IFERROR(__xludf.DUMMYFUNCTION("""COMPUTED_VALUE"""),"TRX")</f>
        <v>TRX</v>
      </c>
      <c r="E26" s="57">
        <f>IFERROR(__xludf.DUMMYFUNCTION("""COMPUTED_VALUE"""),0.091585)</f>
        <v>0.091585</v>
      </c>
      <c r="F26" s="57" t="str">
        <f>IFERROR(__xludf.DUMMYFUNCTION("""COMPUTED_VALUE"""),"6,57B $")</f>
        <v>6,57B $</v>
      </c>
      <c r="G26" s="57" t="str">
        <f>IFERROR(__xludf.DUMMYFUNCTION("""COMPUTED_VALUE"""),"1,54B $")</f>
        <v>1,54B $</v>
      </c>
      <c r="H26" s="32">
        <f>IFERROR(__xludf.DUMMYFUNCTION("""COMPUTED_VALUE"""),0.0145)</f>
        <v>0.0145</v>
      </c>
      <c r="I26" s="32">
        <f>IFERROR(__xludf.DUMMYFUNCTION("""COMPUTED_VALUE"""),-0.0017)</f>
        <v>-0.0017</v>
      </c>
      <c r="J26" s="57" t="str">
        <f>IFERROR(__xludf.DUMMYFUNCTION("""COMPUTED_VALUE"""),"+28,50%")</f>
        <v>+28,50%</v>
      </c>
    </row>
    <row r="27">
      <c r="A27" s="57">
        <f>IFERROR(__xludf.DUMMYFUNCTION("""COMPUTED_VALUE"""),26.0)</f>
        <v>26</v>
      </c>
      <c r="B27" s="57"/>
      <c r="C27" s="57" t="str">
        <f>IFERROR(__xludf.DUMMYFUNCTION("""COMPUTED_VALUE"""),"Dai")</f>
        <v>Dai</v>
      </c>
      <c r="D27" s="57" t="str">
        <f>IFERROR(__xludf.DUMMYFUNCTION("""COMPUTED_VALUE"""),"DAI")</f>
        <v>DAI</v>
      </c>
      <c r="E27" s="57">
        <f>IFERROR(__xludf.DUMMYFUNCTION("""COMPUTED_VALUE"""),0.99862)</f>
        <v>0.99862</v>
      </c>
      <c r="F27" s="57" t="str">
        <f>IFERROR(__xludf.DUMMYFUNCTION("""COMPUTED_VALUE"""),"5,98B $")</f>
        <v>5,98B $</v>
      </c>
      <c r="G27" s="57" t="str">
        <f>IFERROR(__xludf.DUMMYFUNCTION("""COMPUTED_VALUE"""),"426,54M $")</f>
        <v>426,54M $</v>
      </c>
      <c r="H27" s="32">
        <f>IFERROR(__xludf.DUMMYFUNCTION("""COMPUTED_VALUE"""),0.004)</f>
        <v>0.004</v>
      </c>
      <c r="I27" s="32">
        <f>IFERROR(__xludf.DUMMYFUNCTION("""COMPUTED_VALUE"""),-5.0E-4)</f>
        <v>-0.0005</v>
      </c>
      <c r="J27" s="57" t="str">
        <f>IFERROR(__xludf.DUMMYFUNCTION("""COMPUTED_VALUE"""),"+0,09%")</f>
        <v>+0,09%</v>
      </c>
    </row>
    <row r="28">
      <c r="A28" s="57">
        <f>IFERROR(__xludf.DUMMYFUNCTION("""COMPUTED_VALUE"""),27.0)</f>
        <v>27</v>
      </c>
      <c r="B28" s="57"/>
      <c r="C28" s="57" t="str">
        <f>IFERROR(__xludf.DUMMYFUNCTION("""COMPUTED_VALUE"""),"EOS")</f>
        <v>EOS</v>
      </c>
      <c r="D28" s="57" t="str">
        <f>IFERROR(__xludf.DUMMYFUNCTION("""COMPUTED_VALUE"""),"EOS")</f>
        <v>EOS</v>
      </c>
      <c r="E28" s="57">
        <f>IFERROR(__xludf.DUMMYFUNCTION("""COMPUTED_VALUE"""),5.4332)</f>
        <v>5.4332</v>
      </c>
      <c r="F28" s="57" t="str">
        <f>IFERROR(__xludf.DUMMYFUNCTION("""COMPUTED_VALUE"""),"5,18B $")</f>
        <v>5,18B $</v>
      </c>
      <c r="G28" s="57" t="str">
        <f>IFERROR(__xludf.DUMMYFUNCTION("""COMPUTED_VALUE"""),"2,03B $")</f>
        <v>2,03B $</v>
      </c>
      <c r="H28" s="32">
        <f>IFERROR(__xludf.DUMMYFUNCTION("""COMPUTED_VALUE"""),0.0191)</f>
        <v>0.0191</v>
      </c>
      <c r="I28" s="57" t="str">
        <f>IFERROR(__xludf.DUMMYFUNCTION("""COMPUTED_VALUE"""),"+3,98%")</f>
        <v>+3,98%</v>
      </c>
      <c r="J28" s="57" t="str">
        <f>IFERROR(__xludf.DUMMYFUNCTION("""COMPUTED_VALUE"""),"+26,25%")</f>
        <v>+26,25%</v>
      </c>
    </row>
    <row r="29">
      <c r="A29" s="57">
        <f>IFERROR(__xludf.DUMMYFUNCTION("""COMPUTED_VALUE"""),28.0)</f>
        <v>28</v>
      </c>
      <c r="B29" s="57"/>
      <c r="C29" s="57" t="str">
        <f>IFERROR(__xludf.DUMMYFUNCTION("""COMPUTED_VALUE"""),"Aave")</f>
        <v>Aave</v>
      </c>
      <c r="D29" s="57" t="str">
        <f>IFERROR(__xludf.DUMMYFUNCTION("""COMPUTED_VALUE"""),"AAVE")</f>
        <v>AAVE</v>
      </c>
      <c r="E29" s="57">
        <f>IFERROR(__xludf.DUMMYFUNCTION("""COMPUTED_VALUE"""),401.73)</f>
        <v>401.73</v>
      </c>
      <c r="F29" s="57" t="str">
        <f>IFERROR(__xludf.DUMMYFUNCTION("""COMPUTED_VALUE"""),"5,18B $")</f>
        <v>5,18B $</v>
      </c>
      <c r="G29" s="57" t="str">
        <f>IFERROR(__xludf.DUMMYFUNCTION("""COMPUTED_VALUE"""),"305,82M $")</f>
        <v>305,82M $</v>
      </c>
      <c r="H29" s="32">
        <f>IFERROR(__xludf.DUMMYFUNCTION("""COMPUTED_VALUE"""),0.0029)</f>
        <v>0.0029</v>
      </c>
      <c r="I29" s="32">
        <f>IFERROR(__xludf.DUMMYFUNCTION("""COMPUTED_VALUE"""),-0.0153)</f>
        <v>-0.0153</v>
      </c>
      <c r="J29" s="57" t="str">
        <f>IFERROR(__xludf.DUMMYFUNCTION("""COMPUTED_VALUE"""),"+11,59%")</f>
        <v>+11,59%</v>
      </c>
    </row>
    <row r="30">
      <c r="A30" s="57">
        <f>IFERROR(__xludf.DUMMYFUNCTION("""COMPUTED_VALUE"""),29.0)</f>
        <v>29</v>
      </c>
      <c r="B30" s="57"/>
      <c r="C30" s="57" t="str">
        <f>IFERROR(__xludf.DUMMYFUNCTION("""COMPUTED_VALUE"""),"Monero")</f>
        <v>Monero</v>
      </c>
      <c r="D30" s="57" t="str">
        <f>IFERROR(__xludf.DUMMYFUNCTION("""COMPUTED_VALUE"""),"XMR")</f>
        <v>XMR</v>
      </c>
      <c r="E30" s="57">
        <f>IFERROR(__xludf.DUMMYFUNCTION("""COMPUTED_VALUE"""),270.072)</f>
        <v>270.072</v>
      </c>
      <c r="F30" s="57" t="str">
        <f>IFERROR(__xludf.DUMMYFUNCTION("""COMPUTED_VALUE"""),"4,85B $")</f>
        <v>4,85B $</v>
      </c>
      <c r="G30" s="57" t="str">
        <f>IFERROR(__xludf.DUMMYFUNCTION("""COMPUTED_VALUE"""),"173,20M $")</f>
        <v>173,20M $</v>
      </c>
      <c r="H30" s="32">
        <f>IFERROR(__xludf.DUMMYFUNCTION("""COMPUTED_VALUE"""),0.0016)</f>
        <v>0.0016</v>
      </c>
      <c r="I30" s="57" t="str">
        <f>IFERROR(__xludf.DUMMYFUNCTION("""COMPUTED_VALUE"""),"+0,74%")</f>
        <v>+0,74%</v>
      </c>
      <c r="J30" s="57" t="str">
        <f>IFERROR(__xludf.DUMMYFUNCTION("""COMPUTED_VALUE"""),"+2,62%")</f>
        <v>+2,62%</v>
      </c>
    </row>
    <row r="31">
      <c r="A31" s="57">
        <f>IFERROR(__xludf.DUMMYFUNCTION("""COMPUTED_VALUE"""),30.0)</f>
        <v>30</v>
      </c>
      <c r="B31" s="57"/>
      <c r="C31" s="57" t="str">
        <f>IFERROR(__xludf.DUMMYFUNCTION("""COMPUTED_VALUE"""),"FTX Token")</f>
        <v>FTX Token</v>
      </c>
      <c r="D31" s="57" t="str">
        <f>IFERROR(__xludf.DUMMYFUNCTION("""COMPUTED_VALUE"""),"FTT")</f>
        <v>FTT</v>
      </c>
      <c r="E31" s="57">
        <f>IFERROR(__xludf.DUMMYFUNCTION("""COMPUTED_VALUE"""),50.517)</f>
        <v>50.517</v>
      </c>
      <c r="F31" s="57" t="str">
        <f>IFERROR(__xludf.DUMMYFUNCTION("""COMPUTED_VALUE"""),"4,73B $")</f>
        <v>4,73B $</v>
      </c>
      <c r="G31" s="57" t="str">
        <f>IFERROR(__xludf.DUMMYFUNCTION("""COMPUTED_VALUE"""),"203,50M $")</f>
        <v>203,50M $</v>
      </c>
      <c r="H31" s="32">
        <f>IFERROR(__xludf.DUMMYFUNCTION("""COMPUTED_VALUE"""),0.0019)</f>
        <v>0.0019</v>
      </c>
      <c r="I31" s="57" t="str">
        <f>IFERROR(__xludf.DUMMYFUNCTION("""COMPUTED_VALUE"""),"+5,17%")</f>
        <v>+5,17%</v>
      </c>
      <c r="J31" s="57" t="str">
        <f>IFERROR(__xludf.DUMMYFUNCTION("""COMPUTED_VALUE"""),"+16,35%")</f>
        <v>+16,35%</v>
      </c>
    </row>
    <row r="32">
      <c r="A32" s="57">
        <f>IFERROR(__xludf.DUMMYFUNCTION("""COMPUTED_VALUE"""),31.0)</f>
        <v>31</v>
      </c>
      <c r="B32" s="57"/>
      <c r="C32" s="57" t="str">
        <f>IFERROR(__xludf.DUMMYFUNCTION("""COMPUTED_VALUE"""),"Klaytn")</f>
        <v>Klaytn</v>
      </c>
      <c r="D32" s="57" t="str">
        <f>IFERROR(__xludf.DUMMYFUNCTION("""COMPUTED_VALUE"""),"KLAY")</f>
        <v>KLAY</v>
      </c>
      <c r="E32" s="57">
        <f>IFERROR(__xludf.DUMMYFUNCTION("""COMPUTED_VALUE"""),1.8135)</f>
        <v>1.8135</v>
      </c>
      <c r="F32" s="57" t="str">
        <f>IFERROR(__xludf.DUMMYFUNCTION("""COMPUTED_VALUE"""),"4,55B $")</f>
        <v>4,55B $</v>
      </c>
      <c r="G32" s="57" t="str">
        <f>IFERROR(__xludf.DUMMYFUNCTION("""COMPUTED_VALUE"""),"134,72M $")</f>
        <v>134,72M $</v>
      </c>
      <c r="H32" s="32">
        <f>IFERROR(__xludf.DUMMYFUNCTION("""COMPUTED_VALUE"""),0.0013)</f>
        <v>0.0013</v>
      </c>
      <c r="I32" s="57" t="str">
        <f>IFERROR(__xludf.DUMMYFUNCTION("""COMPUTED_VALUE"""),"+4,36%")</f>
        <v>+4,36%</v>
      </c>
      <c r="J32" s="57" t="str">
        <f>IFERROR(__xludf.DUMMYFUNCTION("""COMPUTED_VALUE"""),"+51,96%")</f>
        <v>+51,96%</v>
      </c>
    </row>
    <row r="33">
      <c r="A33" s="57">
        <f>IFERROR(__xludf.DUMMYFUNCTION("""COMPUTED_VALUE"""),32.0)</f>
        <v>32</v>
      </c>
      <c r="B33" s="57"/>
      <c r="C33" s="57" t="str">
        <f>IFERROR(__xludf.DUMMYFUNCTION("""COMPUTED_VALUE"""),"PancakeSwap")</f>
        <v>PancakeSwap</v>
      </c>
      <c r="D33" s="57" t="str">
        <f>IFERROR(__xludf.DUMMYFUNCTION("""COMPUTED_VALUE"""),"CAKE")</f>
        <v>CAKE</v>
      </c>
      <c r="E33" s="57">
        <f>IFERROR(__xludf.DUMMYFUNCTION("""COMPUTED_VALUE"""),20.805)</f>
        <v>20.805</v>
      </c>
      <c r="F33" s="57" t="str">
        <f>IFERROR(__xludf.DUMMYFUNCTION("""COMPUTED_VALUE"""),"4,36B $")</f>
        <v>4,36B $</v>
      </c>
      <c r="G33" s="57" t="str">
        <f>IFERROR(__xludf.DUMMYFUNCTION("""COMPUTED_VALUE"""),"426,90M $")</f>
        <v>426,90M $</v>
      </c>
      <c r="H33" s="32">
        <f>IFERROR(__xludf.DUMMYFUNCTION("""COMPUTED_VALUE"""),0.004)</f>
        <v>0.004</v>
      </c>
      <c r="I33" s="57" t="str">
        <f>IFERROR(__xludf.DUMMYFUNCTION("""COMPUTED_VALUE"""),"+0,59%")</f>
        <v>+0,59%</v>
      </c>
      <c r="J33" s="57" t="str">
        <f>IFERROR(__xludf.DUMMYFUNCTION("""COMPUTED_VALUE"""),"+19,41%")</f>
        <v>+19,41%</v>
      </c>
    </row>
    <row r="34">
      <c r="A34" s="57">
        <f>IFERROR(__xludf.DUMMYFUNCTION("""COMPUTED_VALUE"""),33.0)</f>
        <v>33</v>
      </c>
      <c r="B34" s="57"/>
      <c r="C34" s="57" t="str">
        <f>IFERROR(__xludf.DUMMYFUNCTION("""COMPUTED_VALUE"""),"The Graph")</f>
        <v>The Graph</v>
      </c>
      <c r="D34" s="57" t="str">
        <f>IFERROR(__xludf.DUMMYFUNCTION("""COMPUTED_VALUE"""),"GRT")</f>
        <v>GRT</v>
      </c>
      <c r="E34" s="57">
        <f>IFERROR(__xludf.DUMMYFUNCTION("""COMPUTED_VALUE"""),0.8901)</f>
        <v>0.8901</v>
      </c>
      <c r="F34" s="57" t="str">
        <f>IFERROR(__xludf.DUMMYFUNCTION("""COMPUTED_VALUE"""),"4,16B $")</f>
        <v>4,16B $</v>
      </c>
      <c r="G34" s="57" t="str">
        <f>IFERROR(__xludf.DUMMYFUNCTION("""COMPUTED_VALUE"""),"166,16M $")</f>
        <v>166,16M $</v>
      </c>
      <c r="H34" s="32">
        <f>IFERROR(__xludf.DUMMYFUNCTION("""COMPUTED_VALUE"""),0.0016)</f>
        <v>0.0016</v>
      </c>
      <c r="I34" s="32">
        <f>IFERROR(__xludf.DUMMYFUNCTION("""COMPUTED_VALUE"""),-0.0019)</f>
        <v>-0.0019</v>
      </c>
      <c r="J34" s="57" t="str">
        <f>IFERROR(__xludf.DUMMYFUNCTION("""COMPUTED_VALUE"""),"+31,95%")</f>
        <v>+31,95%</v>
      </c>
    </row>
    <row r="35">
      <c r="A35" s="57">
        <f>IFERROR(__xludf.DUMMYFUNCTION("""COMPUTED_VALUE"""),34.0)</f>
        <v>34</v>
      </c>
      <c r="B35" s="57"/>
      <c r="C35" s="57" t="str">
        <f>IFERROR(__xludf.DUMMYFUNCTION("""COMPUTED_VALUE"""),"Axie Infinity")</f>
        <v>Axie Infinity</v>
      </c>
      <c r="D35" s="57" t="str">
        <f>IFERROR(__xludf.DUMMYFUNCTION("""COMPUTED_VALUE"""),"AXS")</f>
        <v>AXS</v>
      </c>
      <c r="E35" s="57">
        <f>IFERROR(__xludf.DUMMYFUNCTION("""COMPUTED_VALUE"""),67.0209)</f>
        <v>67.0209</v>
      </c>
      <c r="F35" s="57" t="str">
        <f>IFERROR(__xludf.DUMMYFUNCTION("""COMPUTED_VALUE"""),"4,04B $")</f>
        <v>4,04B $</v>
      </c>
      <c r="G35" s="57" t="str">
        <f>IFERROR(__xludf.DUMMYFUNCTION("""COMPUTED_VALUE"""),"660,01M $")</f>
        <v>660,01M $</v>
      </c>
      <c r="H35" s="32">
        <f>IFERROR(__xludf.DUMMYFUNCTION("""COMPUTED_VALUE"""),0.0062)</f>
        <v>0.0062</v>
      </c>
      <c r="I35" s="57" t="str">
        <f>IFERROR(__xludf.DUMMYFUNCTION("""COMPUTED_VALUE"""),"+0,80%")</f>
        <v>+0,80%</v>
      </c>
      <c r="J35" s="57" t="str">
        <f>IFERROR(__xludf.DUMMYFUNCTION("""COMPUTED_VALUE"""),"+58,27%")</f>
        <v>+58,27%</v>
      </c>
    </row>
    <row r="36">
      <c r="A36" s="57">
        <f>IFERROR(__xludf.DUMMYFUNCTION("""COMPUTED_VALUE"""),35.0)</f>
        <v>35</v>
      </c>
      <c r="B36" s="57"/>
      <c r="C36" s="57" t="str">
        <f>IFERROR(__xludf.DUMMYFUNCTION("""COMPUTED_VALUE"""),"Neo")</f>
        <v>Neo</v>
      </c>
      <c r="D36" s="57" t="str">
        <f>IFERROR(__xludf.DUMMYFUNCTION("""COMPUTED_VALUE"""),"NEO")</f>
        <v>NEO</v>
      </c>
      <c r="E36" s="57">
        <f>IFERROR(__xludf.DUMMYFUNCTION("""COMPUTED_VALUE"""),55.8354)</f>
        <v>55.8354</v>
      </c>
      <c r="F36" s="57" t="str">
        <f>IFERROR(__xludf.DUMMYFUNCTION("""COMPUTED_VALUE"""),"3,92B $")</f>
        <v>3,92B $</v>
      </c>
      <c r="G36" s="57" t="str">
        <f>IFERROR(__xludf.DUMMYFUNCTION("""COMPUTED_VALUE"""),"516,40M $")</f>
        <v>516,40M $</v>
      </c>
      <c r="H36" s="32">
        <f>IFERROR(__xludf.DUMMYFUNCTION("""COMPUTED_VALUE"""),0.0049)</f>
        <v>0.0049</v>
      </c>
      <c r="I36" s="57" t="str">
        <f>IFERROR(__xludf.DUMMYFUNCTION("""COMPUTED_VALUE"""),"+3,37%")</f>
        <v>+3,37%</v>
      </c>
      <c r="J36" s="57" t="str">
        <f>IFERROR(__xludf.DUMMYFUNCTION("""COMPUTED_VALUE"""),"+25,19%")</f>
        <v>+25,19%</v>
      </c>
    </row>
    <row r="37">
      <c r="A37" s="57">
        <f>IFERROR(__xludf.DUMMYFUNCTION("""COMPUTED_VALUE"""),36.0)</f>
        <v>36</v>
      </c>
      <c r="B37" s="57"/>
      <c r="C37" s="57" t="str">
        <f>IFERROR(__xludf.DUMMYFUNCTION("""COMPUTED_VALUE"""),"Crypto.com Coin")</f>
        <v>Crypto.com Coin</v>
      </c>
      <c r="D37" s="57" t="str">
        <f>IFERROR(__xludf.DUMMYFUNCTION("""COMPUTED_VALUE"""),"CRO")</f>
        <v>CRO</v>
      </c>
      <c r="E37" s="57">
        <f>IFERROR(__xludf.DUMMYFUNCTION("""COMPUTED_VALUE"""),0.1502)</f>
        <v>0.1502</v>
      </c>
      <c r="F37" s="57" t="str">
        <f>IFERROR(__xludf.DUMMYFUNCTION("""COMPUTED_VALUE"""),"3,78B $")</f>
        <v>3,78B $</v>
      </c>
      <c r="G37" s="57" t="str">
        <f>IFERROR(__xludf.DUMMYFUNCTION("""COMPUTED_VALUE"""),"32,92M $")</f>
        <v>32,92M $</v>
      </c>
      <c r="H37" s="32">
        <f>IFERROR(__xludf.DUMMYFUNCTION("""COMPUTED_VALUE"""),3.0E-4)</f>
        <v>0.0003</v>
      </c>
      <c r="I37" s="57" t="str">
        <f>IFERROR(__xludf.DUMMYFUNCTION("""COMPUTED_VALUE"""),"+0,65%")</f>
        <v>+0,65%</v>
      </c>
      <c r="J37" s="57" t="str">
        <f>IFERROR(__xludf.DUMMYFUNCTION("""COMPUTED_VALUE"""),"+9,80%")</f>
        <v>+9,80%</v>
      </c>
    </row>
    <row r="38">
      <c r="A38" s="57">
        <f>IFERROR(__xludf.DUMMYFUNCTION("""COMPUTED_VALUE"""),37.0)</f>
        <v>37</v>
      </c>
      <c r="B38" s="57"/>
      <c r="C38" s="57" t="str">
        <f>IFERROR(__xludf.DUMMYFUNCTION("""COMPUTED_VALUE"""),"Maker")</f>
        <v>Maker</v>
      </c>
      <c r="D38" s="57" t="str">
        <f>IFERROR(__xludf.DUMMYFUNCTION("""COMPUTED_VALUE"""),"MKR")</f>
        <v>MKR</v>
      </c>
      <c r="E38" s="57" t="str">
        <f>IFERROR(__xludf.DUMMYFUNCTION("""COMPUTED_VALUE"""),"3.747,61")</f>
        <v>3.747,61</v>
      </c>
      <c r="F38" s="57" t="str">
        <f>IFERROR(__xludf.DUMMYFUNCTION("""COMPUTED_VALUE"""),"3,70B $")</f>
        <v>3,70B $</v>
      </c>
      <c r="G38" s="57" t="str">
        <f>IFERROR(__xludf.DUMMYFUNCTION("""COMPUTED_VALUE"""),"198,09M $")</f>
        <v>198,09M $</v>
      </c>
      <c r="H38" s="32">
        <f>IFERROR(__xludf.DUMMYFUNCTION("""COMPUTED_VALUE"""),0.0019)</f>
        <v>0.0019</v>
      </c>
      <c r="I38" s="32">
        <f>IFERROR(__xludf.DUMMYFUNCTION("""COMPUTED_VALUE"""),-0.0198)</f>
        <v>-0.0198</v>
      </c>
      <c r="J38" s="57" t="str">
        <f>IFERROR(__xludf.DUMMYFUNCTION("""COMPUTED_VALUE"""),"+17,10%")</f>
        <v>+17,10%</v>
      </c>
    </row>
    <row r="39">
      <c r="A39" s="57">
        <f>IFERROR(__xludf.DUMMYFUNCTION("""COMPUTED_VALUE"""),38.0)</f>
        <v>38</v>
      </c>
      <c r="B39" s="57"/>
      <c r="C39" s="57" t="str">
        <f>IFERROR(__xludf.DUMMYFUNCTION("""COMPUTED_VALUE"""),"Bitcoin BEP2")</f>
        <v>Bitcoin BEP2</v>
      </c>
      <c r="D39" s="57" t="str">
        <f>IFERROR(__xludf.DUMMYFUNCTION("""COMPUTED_VALUE"""),"BTCB")</f>
        <v>BTCB</v>
      </c>
      <c r="E39" s="57" t="str">
        <f>IFERROR(__xludf.DUMMYFUNCTION("""COMPUTED_VALUE"""),"32.679,97")</f>
        <v>32.679,97</v>
      </c>
      <c r="F39" s="57" t="str">
        <f>IFERROR(__xludf.DUMMYFUNCTION("""COMPUTED_VALUE"""),"3,63B $")</f>
        <v>3,63B $</v>
      </c>
      <c r="G39" s="57" t="str">
        <f>IFERROR(__xludf.DUMMYFUNCTION("""COMPUTED_VALUE"""),"29,84M $")</f>
        <v>29,84M $</v>
      </c>
      <c r="H39" s="32">
        <f>IFERROR(__xludf.DUMMYFUNCTION("""COMPUTED_VALUE"""),3.0E-4)</f>
        <v>0.0003</v>
      </c>
      <c r="I39" s="32">
        <f>IFERROR(__xludf.DUMMYFUNCTION("""COMPUTED_VALUE"""),-0.007)</f>
        <v>-0.007</v>
      </c>
      <c r="J39" s="57" t="str">
        <f>IFERROR(__xludf.DUMMYFUNCTION("""COMPUTED_VALUE"""),"+5,87%")</f>
        <v>+5,87%</v>
      </c>
    </row>
    <row r="40">
      <c r="A40" s="57">
        <f>IFERROR(__xludf.DUMMYFUNCTION("""COMPUTED_VALUE"""),39.0)</f>
        <v>39</v>
      </c>
      <c r="B40" s="57"/>
      <c r="C40" s="57" t="str">
        <f>IFERROR(__xludf.DUMMYFUNCTION("""COMPUTED_VALUE"""),"Cosmos")</f>
        <v>Cosmos</v>
      </c>
      <c r="D40" s="57" t="str">
        <f>IFERROR(__xludf.DUMMYFUNCTION("""COMPUTED_VALUE"""),"ATOM")</f>
        <v>ATOM</v>
      </c>
      <c r="E40" s="57">
        <f>IFERROR(__xludf.DUMMYFUNCTION("""COMPUTED_VALUE"""),15.4865)</f>
        <v>15.4865</v>
      </c>
      <c r="F40" s="57" t="str">
        <f>IFERROR(__xludf.DUMMYFUNCTION("""COMPUTED_VALUE"""),"3,41B $")</f>
        <v>3,41B $</v>
      </c>
      <c r="G40" s="57" t="str">
        <f>IFERROR(__xludf.DUMMYFUNCTION("""COMPUTED_VALUE"""),"209,16M $")</f>
        <v>209,16M $</v>
      </c>
      <c r="H40" s="32">
        <f>IFERROR(__xludf.DUMMYFUNCTION("""COMPUTED_VALUE"""),0.002)</f>
        <v>0.002</v>
      </c>
      <c r="I40" s="57" t="str">
        <f>IFERROR(__xludf.DUMMYFUNCTION("""COMPUTED_VALUE"""),"+3,61%")</f>
        <v>+3,61%</v>
      </c>
      <c r="J40" s="57" t="str">
        <f>IFERROR(__xludf.DUMMYFUNCTION("""COMPUTED_VALUE"""),"+17,65%")</f>
        <v>+17,65%</v>
      </c>
    </row>
    <row r="41">
      <c r="A41" s="57">
        <f>IFERROR(__xludf.DUMMYFUNCTION("""COMPUTED_VALUE"""),40.0)</f>
        <v>40</v>
      </c>
      <c r="B41" s="57"/>
      <c r="C41" s="57" t="str">
        <f>IFERROR(__xludf.DUMMYFUNCTION("""COMPUTED_VALUE"""),"SHIBA INU")</f>
        <v>SHIBA INU</v>
      </c>
      <c r="D41" s="57" t="str">
        <f>IFERROR(__xludf.DUMMYFUNCTION("""COMPUTED_VALUE"""),"SHIB")</f>
        <v>SHIB</v>
      </c>
      <c r="E41" s="57">
        <f>IFERROR(__xludf.DUMMYFUNCTION("""COMPUTED_VALUE"""),1.0E-5)</f>
        <v>0.00001</v>
      </c>
      <c r="F41" s="57" t="str">
        <f>IFERROR(__xludf.DUMMYFUNCTION("""COMPUTED_VALUE"""),"3,26B $")</f>
        <v>3,26B $</v>
      </c>
      <c r="G41" s="57" t="str">
        <f>IFERROR(__xludf.DUMMYFUNCTION("""COMPUTED_VALUE"""),"401,36M $")</f>
        <v>401,36M $</v>
      </c>
      <c r="H41" s="32">
        <f>IFERROR(__xludf.DUMMYFUNCTION("""COMPUTED_VALUE"""),0.0038)</f>
        <v>0.0038</v>
      </c>
      <c r="I41" s="57" t="str">
        <f>IFERROR(__xludf.DUMMYFUNCTION("""COMPUTED_VALUE"""),"+2,75%")</f>
        <v>+2,75%</v>
      </c>
      <c r="J41" s="57" t="str">
        <f>IFERROR(__xludf.DUMMYFUNCTION("""COMPUTED_VALUE"""),"+12,16%")</f>
        <v>+12,16%</v>
      </c>
    </row>
    <row r="42">
      <c r="A42" s="57">
        <f>IFERROR(__xludf.DUMMYFUNCTION("""COMPUTED_VALUE"""),41.0)</f>
        <v>41</v>
      </c>
      <c r="B42" s="57"/>
      <c r="C42" s="57" t="str">
        <f>IFERROR(__xludf.DUMMYFUNCTION("""COMPUTED_VALUE"""),"Bitcoin SV")</f>
        <v>Bitcoin SV</v>
      </c>
      <c r="D42" s="57" t="str">
        <f>IFERROR(__xludf.DUMMYFUNCTION("""COMPUTED_VALUE"""),"BSV")</f>
        <v>BSV</v>
      </c>
      <c r="E42" s="57">
        <f>IFERROR(__xludf.DUMMYFUNCTION("""COMPUTED_VALUE"""),167.71)</f>
        <v>167.71</v>
      </c>
      <c r="F42" s="57" t="str">
        <f>IFERROR(__xludf.DUMMYFUNCTION("""COMPUTED_VALUE"""),"3,22B $")</f>
        <v>3,22B $</v>
      </c>
      <c r="G42" s="57" t="str">
        <f>IFERROR(__xludf.DUMMYFUNCTION("""COMPUTED_VALUE"""),"519,83M $")</f>
        <v>519,83M $</v>
      </c>
      <c r="H42" s="32">
        <f>IFERROR(__xludf.DUMMYFUNCTION("""COMPUTED_VALUE"""),0.0049)</f>
        <v>0.0049</v>
      </c>
      <c r="I42" s="57" t="str">
        <f>IFERROR(__xludf.DUMMYFUNCTION("""COMPUTED_VALUE"""),"+2,70%")</f>
        <v>+2,70%</v>
      </c>
      <c r="J42" s="57" t="str">
        <f>IFERROR(__xludf.DUMMYFUNCTION("""COMPUTED_VALUE"""),"+17,33%")</f>
        <v>+17,33%</v>
      </c>
    </row>
    <row r="43">
      <c r="A43" s="57">
        <f>IFERROR(__xludf.DUMMYFUNCTION("""COMPUTED_VALUE"""),42.0)</f>
        <v>42</v>
      </c>
      <c r="B43" s="57"/>
      <c r="C43" s="57" t="str">
        <f>IFERROR(__xludf.DUMMYFUNCTION("""COMPUTED_VALUE"""),"IOTA")</f>
        <v>IOTA</v>
      </c>
      <c r="D43" s="57" t="str">
        <f>IFERROR(__xludf.DUMMYFUNCTION("""COMPUTED_VALUE"""),"MIOTA")</f>
        <v>MIOTA</v>
      </c>
      <c r="E43" s="57">
        <f>IFERROR(__xludf.DUMMYFUNCTION("""COMPUTED_VALUE"""),1.13725)</f>
        <v>1.13725</v>
      </c>
      <c r="F43" s="57" t="str">
        <f>IFERROR(__xludf.DUMMYFUNCTION("""COMPUTED_VALUE"""),"3,20B $")</f>
        <v>3,20B $</v>
      </c>
      <c r="G43" s="57" t="str">
        <f>IFERROR(__xludf.DUMMYFUNCTION("""COMPUTED_VALUE"""),"57,49M $")</f>
        <v>57,49M $</v>
      </c>
      <c r="H43" s="32">
        <f>IFERROR(__xludf.DUMMYFUNCTION("""COMPUTED_VALUE"""),5.0E-4)</f>
        <v>0.0005</v>
      </c>
      <c r="I43" s="57" t="str">
        <f>IFERROR(__xludf.DUMMYFUNCTION("""COMPUTED_VALUE"""),"+2,00%")</f>
        <v>+2,00%</v>
      </c>
      <c r="J43" s="57" t="str">
        <f>IFERROR(__xludf.DUMMYFUNCTION("""COMPUTED_VALUE"""),"+30,83%")</f>
        <v>+30,83%</v>
      </c>
    </row>
    <row r="44">
      <c r="A44" s="57">
        <f>IFERROR(__xludf.DUMMYFUNCTION("""COMPUTED_VALUE"""),43.0)</f>
        <v>43</v>
      </c>
      <c r="B44" s="57"/>
      <c r="C44" s="57" t="str">
        <f>IFERROR(__xludf.DUMMYFUNCTION("""COMPUTED_VALUE"""),"Algorand")</f>
        <v>Algorand</v>
      </c>
      <c r="D44" s="57" t="str">
        <f>IFERROR(__xludf.DUMMYFUNCTION("""COMPUTED_VALUE"""),"ALGO")</f>
        <v>ALGO</v>
      </c>
      <c r="E44" s="57">
        <f>IFERROR(__xludf.DUMMYFUNCTION("""COMPUTED_VALUE"""),0.9814)</f>
        <v>0.9814</v>
      </c>
      <c r="F44" s="57" t="str">
        <f>IFERROR(__xludf.DUMMYFUNCTION("""COMPUTED_VALUE"""),"3,16B $")</f>
        <v>3,16B $</v>
      </c>
      <c r="G44" s="57" t="str">
        <f>IFERROR(__xludf.DUMMYFUNCTION("""COMPUTED_VALUE"""),"172,89M $")</f>
        <v>172,89M $</v>
      </c>
      <c r="H44" s="32">
        <f>IFERROR(__xludf.DUMMYFUNCTION("""COMPUTED_VALUE"""),0.0016)</f>
        <v>0.0016</v>
      </c>
      <c r="I44" s="57" t="str">
        <f>IFERROR(__xludf.DUMMYFUNCTION("""COMPUTED_VALUE"""),"+3,86%")</f>
        <v>+3,86%</v>
      </c>
      <c r="J44" s="57" t="str">
        <f>IFERROR(__xludf.DUMMYFUNCTION("""COMPUTED_VALUE"""),"+17,44%")</f>
        <v>+17,44%</v>
      </c>
    </row>
    <row r="45">
      <c r="A45" s="57">
        <f>IFERROR(__xludf.DUMMYFUNCTION("""COMPUTED_VALUE"""),44.0)</f>
        <v>44</v>
      </c>
      <c r="B45" s="57"/>
      <c r="C45" s="57" t="str">
        <f>IFERROR(__xludf.DUMMYFUNCTION("""COMPUTED_VALUE"""),"Tezos")</f>
        <v>Tezos</v>
      </c>
      <c r="D45" s="57" t="str">
        <f>IFERROR(__xludf.DUMMYFUNCTION("""COMPUTED_VALUE"""),"XTZ")</f>
        <v>XTZ</v>
      </c>
      <c r="E45" s="57">
        <f>IFERROR(__xludf.DUMMYFUNCTION("""COMPUTED_VALUE"""),3.69858)</f>
        <v>3.69858</v>
      </c>
      <c r="F45" s="57" t="str">
        <f>IFERROR(__xludf.DUMMYFUNCTION("""COMPUTED_VALUE"""),"3,15B $")</f>
        <v>3,15B $</v>
      </c>
      <c r="G45" s="57" t="str">
        <f>IFERROR(__xludf.DUMMYFUNCTION("""COMPUTED_VALUE"""),"154,94M $")</f>
        <v>154,94M $</v>
      </c>
      <c r="H45" s="32">
        <f>IFERROR(__xludf.DUMMYFUNCTION("""COMPUTED_VALUE"""),0.0015)</f>
        <v>0.0015</v>
      </c>
      <c r="I45" s="57" t="str">
        <f>IFERROR(__xludf.DUMMYFUNCTION("""COMPUTED_VALUE"""),"+1,39%")</f>
        <v>+1,39%</v>
      </c>
      <c r="J45" s="57" t="str">
        <f>IFERROR(__xludf.DUMMYFUNCTION("""COMPUTED_VALUE"""),"+15,93%")</f>
        <v>+15,93%</v>
      </c>
    </row>
    <row r="46">
      <c r="A46" s="57">
        <f>IFERROR(__xludf.DUMMYFUNCTION("""COMPUTED_VALUE"""),45.0)</f>
        <v>45</v>
      </c>
      <c r="B46" s="57"/>
      <c r="C46" s="57" t="str">
        <f>IFERROR(__xludf.DUMMYFUNCTION("""COMPUTED_VALUE"""),"BitTorrent")</f>
        <v>BitTorrent</v>
      </c>
      <c r="D46" s="57" t="str">
        <f>IFERROR(__xludf.DUMMYFUNCTION("""COMPUTED_VALUE"""),"BTT")</f>
        <v>BTT</v>
      </c>
      <c r="E46" s="57">
        <f>IFERROR(__xludf.DUMMYFUNCTION("""COMPUTED_VALUE"""),0.004754)</f>
        <v>0.004754</v>
      </c>
      <c r="F46" s="57" t="str">
        <f>IFERROR(__xludf.DUMMYFUNCTION("""COMPUTED_VALUE"""),"3,12B $")</f>
        <v>3,12B $</v>
      </c>
      <c r="G46" s="57" t="str">
        <f>IFERROR(__xludf.DUMMYFUNCTION("""COMPUTED_VALUE"""),"510,75M $")</f>
        <v>510,75M $</v>
      </c>
      <c r="H46" s="32">
        <f>IFERROR(__xludf.DUMMYFUNCTION("""COMPUTED_VALUE"""),0.0048)</f>
        <v>0.0048</v>
      </c>
      <c r="I46" s="32">
        <f>IFERROR(__xludf.DUMMYFUNCTION("""COMPUTED_VALUE"""),-0.0127)</f>
        <v>-0.0127</v>
      </c>
      <c r="J46" s="57" t="str">
        <f>IFERROR(__xludf.DUMMYFUNCTION("""COMPUTED_VALUE"""),"+27,43%")</f>
        <v>+27,43%</v>
      </c>
    </row>
    <row r="47">
      <c r="A47" s="57">
        <f>IFERROR(__xludf.DUMMYFUNCTION("""COMPUTED_VALUE"""),46.0)</f>
        <v>46</v>
      </c>
      <c r="B47" s="57"/>
      <c r="C47" s="57" t="str">
        <f>IFERROR(__xludf.DUMMYFUNCTION("""COMPUTED_VALUE"""),"Avalanche")</f>
        <v>Avalanche</v>
      </c>
      <c r="D47" s="57" t="str">
        <f>IFERROR(__xludf.DUMMYFUNCTION("""COMPUTED_VALUE"""),"AVAX")</f>
        <v>AVAX</v>
      </c>
      <c r="E47" s="57">
        <f>IFERROR(__xludf.DUMMYFUNCTION("""COMPUTED_VALUE"""),17.92)</f>
        <v>17.92</v>
      </c>
      <c r="F47" s="57" t="str">
        <f>IFERROR(__xludf.DUMMYFUNCTION("""COMPUTED_VALUE"""),"3,10B $")</f>
        <v>3,10B $</v>
      </c>
      <c r="G47" s="57" t="str">
        <f>IFERROR(__xludf.DUMMYFUNCTION("""COMPUTED_VALUE"""),"81,97M $")</f>
        <v>81,97M $</v>
      </c>
      <c r="H47" s="32">
        <f>IFERROR(__xludf.DUMMYFUNCTION("""COMPUTED_VALUE"""),8.0E-4)</f>
        <v>0.0008</v>
      </c>
      <c r="I47" s="57" t="str">
        <f>IFERROR(__xludf.DUMMYFUNCTION("""COMPUTED_VALUE"""),"+0,13%")</f>
        <v>+0,13%</v>
      </c>
      <c r="J47" s="57" t="str">
        <f>IFERROR(__xludf.DUMMYFUNCTION("""COMPUTED_VALUE"""),"+21,03%")</f>
        <v>+21,03%</v>
      </c>
    </row>
    <row r="48">
      <c r="A48" s="57">
        <f>IFERROR(__xludf.DUMMYFUNCTION("""COMPUTED_VALUE"""),47.0)</f>
        <v>47</v>
      </c>
      <c r="B48" s="57"/>
      <c r="C48" s="57" t="str">
        <f>IFERROR(__xludf.DUMMYFUNCTION("""COMPUTED_VALUE"""),"UNUS SED LEO")</f>
        <v>UNUS SED LEO</v>
      </c>
      <c r="D48" s="57" t="str">
        <f>IFERROR(__xludf.DUMMYFUNCTION("""COMPUTED_VALUE"""),"LEO")</f>
        <v>LEO</v>
      </c>
      <c r="E48" s="57">
        <f>IFERROR(__xludf.DUMMYFUNCTION("""COMPUTED_VALUE"""),2.9992)</f>
        <v>2.9992</v>
      </c>
      <c r="F48" s="57" t="str">
        <f>IFERROR(__xludf.DUMMYFUNCTION("""COMPUTED_VALUE"""),"2,85B $")</f>
        <v>2,85B $</v>
      </c>
      <c r="G48" s="57" t="str">
        <f>IFERROR(__xludf.DUMMYFUNCTION("""COMPUTED_VALUE"""),"2,07M $")</f>
        <v>2,07M $</v>
      </c>
      <c r="H48" s="58">
        <f>IFERROR(__xludf.DUMMYFUNCTION("""COMPUTED_VALUE"""),0.0)</f>
        <v>0</v>
      </c>
      <c r="I48" s="57" t="str">
        <f>IFERROR(__xludf.DUMMYFUNCTION("""COMPUTED_VALUE"""),"+0,45%")</f>
        <v>+0,45%</v>
      </c>
      <c r="J48" s="57" t="str">
        <f>IFERROR(__xludf.DUMMYFUNCTION("""COMPUTED_VALUE"""),"+0,36%")</f>
        <v>+0,36%</v>
      </c>
    </row>
    <row r="49">
      <c r="A49" s="57">
        <f>IFERROR(__xludf.DUMMYFUNCTION("""COMPUTED_VALUE"""),48.0)</f>
        <v>48</v>
      </c>
      <c r="B49" s="57"/>
      <c r="C49" s="57" t="str">
        <f>IFERROR(__xludf.DUMMYFUNCTION("""COMPUTED_VALUE"""),"Waves")</f>
        <v>Waves</v>
      </c>
      <c r="D49" s="57" t="str">
        <f>IFERROR(__xludf.DUMMYFUNCTION("""COMPUTED_VALUE"""),"WAVES")</f>
        <v>WAVES</v>
      </c>
      <c r="E49" s="57">
        <f>IFERROR(__xludf.DUMMYFUNCTION("""COMPUTED_VALUE"""),24.8345)</f>
        <v>24.8345</v>
      </c>
      <c r="F49" s="57" t="str">
        <f>IFERROR(__xludf.DUMMYFUNCTION("""COMPUTED_VALUE"""),"2,62B $")</f>
        <v>2,62B $</v>
      </c>
      <c r="G49" s="57" t="str">
        <f>IFERROR(__xludf.DUMMYFUNCTION("""COMPUTED_VALUE"""),"389,42M $")</f>
        <v>389,42M $</v>
      </c>
      <c r="H49" s="32">
        <f>IFERROR(__xludf.DUMMYFUNCTION("""COMPUTED_VALUE"""),0.0037)</f>
        <v>0.0037</v>
      </c>
      <c r="I49" s="32">
        <f>IFERROR(__xludf.DUMMYFUNCTION("""COMPUTED_VALUE"""),-0.0558)</f>
        <v>-0.0558</v>
      </c>
      <c r="J49" s="57" t="str">
        <f>IFERROR(__xludf.DUMMYFUNCTION("""COMPUTED_VALUE"""),"+52,16%")</f>
        <v>+52,16%</v>
      </c>
    </row>
    <row r="50">
      <c r="A50" s="57">
        <f>IFERROR(__xludf.DUMMYFUNCTION("""COMPUTED_VALUE"""),49.0)</f>
        <v>49</v>
      </c>
      <c r="B50" s="57"/>
      <c r="C50" s="57" t="str">
        <f>IFERROR(__xludf.DUMMYFUNCTION("""COMPUTED_VALUE"""),"Elrond")</f>
        <v>Elrond</v>
      </c>
      <c r="D50" s="57" t="str">
        <f>IFERROR(__xludf.DUMMYFUNCTION("""COMPUTED_VALUE"""),"EGLD")</f>
        <v>EGLD</v>
      </c>
      <c r="E50" s="57">
        <f>IFERROR(__xludf.DUMMYFUNCTION("""COMPUTED_VALUE"""),135.4)</f>
        <v>135.4</v>
      </c>
      <c r="F50" s="57" t="str">
        <f>IFERROR(__xludf.DUMMYFUNCTION("""COMPUTED_VALUE"""),"2,61B $")</f>
        <v>2,61B $</v>
      </c>
      <c r="G50" s="57" t="str">
        <f>IFERROR(__xludf.DUMMYFUNCTION("""COMPUTED_VALUE"""),"60,66M $")</f>
        <v>60,66M $</v>
      </c>
      <c r="H50" s="32">
        <f>IFERROR(__xludf.DUMMYFUNCTION("""COMPUTED_VALUE"""),6.0E-4)</f>
        <v>0.0006</v>
      </c>
      <c r="I50" s="32">
        <f>IFERROR(__xludf.DUMMYFUNCTION("""COMPUTED_VALUE"""),-0.0133)</f>
        <v>-0.0133</v>
      </c>
      <c r="J50" s="57" t="str">
        <f>IFERROR(__xludf.DUMMYFUNCTION("""COMPUTED_VALUE"""),"+9,79%")</f>
        <v>+9,79%</v>
      </c>
    </row>
    <row r="51">
      <c r="A51" s="57">
        <f>IFERROR(__xludf.DUMMYFUNCTION("""COMPUTED_VALUE"""),50.0)</f>
        <v>50</v>
      </c>
      <c r="B51" s="57"/>
      <c r="C51" s="57" t="str">
        <f>IFERROR(__xludf.DUMMYFUNCTION("""COMPUTED_VALUE"""),"Compound")</f>
        <v>Compound</v>
      </c>
      <c r="D51" s="57" t="str">
        <f>IFERROR(__xludf.DUMMYFUNCTION("""COMPUTED_VALUE"""),"COMP")</f>
        <v>COMP</v>
      </c>
      <c r="E51" s="57">
        <f>IFERROR(__xludf.DUMMYFUNCTION("""COMPUTED_VALUE"""),476.11)</f>
        <v>476.11</v>
      </c>
      <c r="F51" s="57" t="str">
        <f>IFERROR(__xludf.DUMMYFUNCTION("""COMPUTED_VALUE"""),"2,59B $")</f>
        <v>2,59B $</v>
      </c>
      <c r="G51" s="57" t="str">
        <f>IFERROR(__xludf.DUMMYFUNCTION("""COMPUTED_VALUE"""),"219,76M $")</f>
        <v>219,76M $</v>
      </c>
      <c r="H51" s="32">
        <f>IFERROR(__xludf.DUMMYFUNCTION("""COMPUTED_VALUE"""),0.0021)</f>
        <v>0.0021</v>
      </c>
      <c r="I51" s="57" t="str">
        <f>IFERROR(__xludf.DUMMYFUNCTION("""COMPUTED_VALUE"""),"+2,91%")</f>
        <v>+2,91%</v>
      </c>
      <c r="J51" s="57" t="str">
        <f>IFERROR(__xludf.DUMMYFUNCTION("""COMPUTED_VALUE"""),"+2,40%")</f>
        <v>+2,40%</v>
      </c>
    </row>
    <row r="52">
      <c r="A52" s="57">
        <f>IFERROR(__xludf.DUMMYFUNCTION("""COMPUTED_VALUE"""),51.0)</f>
        <v>51</v>
      </c>
      <c r="B52" s="57"/>
      <c r="C52" s="57" t="str">
        <f>IFERROR(__xludf.DUMMYFUNCTION("""COMPUTED_VALUE"""),"Amp")</f>
        <v>Amp</v>
      </c>
      <c r="D52" s="57" t="str">
        <f>IFERROR(__xludf.DUMMYFUNCTION("""COMPUTED_VALUE"""),"AMP")</f>
        <v>AMP</v>
      </c>
      <c r="E52" s="57">
        <f>IFERROR(__xludf.DUMMYFUNCTION("""COMPUTED_VALUE"""),0.05994)</f>
        <v>0.05994</v>
      </c>
      <c r="F52" s="57" t="str">
        <f>IFERROR(__xludf.DUMMYFUNCTION("""COMPUTED_VALUE"""),"2,53B $")</f>
        <v>2,53B $</v>
      </c>
      <c r="G52" s="57" t="str">
        <f>IFERROR(__xludf.DUMMYFUNCTION("""COMPUTED_VALUE"""),"28,85M $")</f>
        <v>28,85M $</v>
      </c>
      <c r="H52" s="32">
        <f>IFERROR(__xludf.DUMMYFUNCTION("""COMPUTED_VALUE"""),3.0E-4)</f>
        <v>0.0003</v>
      </c>
      <c r="I52" s="32">
        <f>IFERROR(__xludf.DUMMYFUNCTION("""COMPUTED_VALUE"""),-0.0164)</f>
        <v>-0.0164</v>
      </c>
      <c r="J52" s="57" t="str">
        <f>IFERROR(__xludf.DUMMYFUNCTION("""COMPUTED_VALUE"""),"+0,85%")</f>
        <v>+0,85%</v>
      </c>
    </row>
    <row r="53">
      <c r="A53" s="57">
        <f>IFERROR(__xludf.DUMMYFUNCTION("""COMPUTED_VALUE"""),52.0)</f>
        <v>52</v>
      </c>
      <c r="B53" s="57"/>
      <c r="C53" s="57" t="str">
        <f>IFERROR(__xludf.DUMMYFUNCTION("""COMPUTED_VALUE"""),"Hedera Hashgraph")</f>
        <v>Hedera Hashgraph</v>
      </c>
      <c r="D53" s="57" t="str">
        <f>IFERROR(__xludf.DUMMYFUNCTION("""COMPUTED_VALUE"""),"HBAR")</f>
        <v>HBAR</v>
      </c>
      <c r="E53" s="57">
        <f>IFERROR(__xludf.DUMMYFUNCTION("""COMPUTED_VALUE"""),0.25119)</f>
        <v>0.25119</v>
      </c>
      <c r="F53" s="57" t="str">
        <f>IFERROR(__xludf.DUMMYFUNCTION("""COMPUTED_VALUE"""),"2,31B $")</f>
        <v>2,31B $</v>
      </c>
      <c r="G53" s="57" t="str">
        <f>IFERROR(__xludf.DUMMYFUNCTION("""COMPUTED_VALUE"""),"266,81M $")</f>
        <v>266,81M $</v>
      </c>
      <c r="H53" s="32">
        <f>IFERROR(__xludf.DUMMYFUNCTION("""COMPUTED_VALUE"""),0.0025)</f>
        <v>0.0025</v>
      </c>
      <c r="I53" s="32">
        <f>IFERROR(__xludf.DUMMYFUNCTION("""COMPUTED_VALUE"""),-0.0531)</f>
        <v>-0.0531</v>
      </c>
      <c r="J53" s="57" t="str">
        <f>IFERROR(__xludf.DUMMYFUNCTION("""COMPUTED_VALUE"""),"+16,94%")</f>
        <v>+16,94%</v>
      </c>
    </row>
    <row r="54">
      <c r="A54" s="57">
        <f>IFERROR(__xludf.DUMMYFUNCTION("""COMPUTED_VALUE"""),53.0)</f>
        <v>53</v>
      </c>
      <c r="B54" s="57"/>
      <c r="C54" s="57" t="str">
        <f>IFERROR(__xludf.DUMMYFUNCTION("""COMPUTED_VALUE"""),"KickToken")</f>
        <v>KickToken</v>
      </c>
      <c r="D54" s="57" t="str">
        <f>IFERROR(__xludf.DUMMYFUNCTION("""COMPUTED_VALUE"""),"KICK")</f>
        <v>KICK</v>
      </c>
      <c r="E54" s="57">
        <f>IFERROR(__xludf.DUMMYFUNCTION("""COMPUTED_VALUE"""),0.014895)</f>
        <v>0.014895</v>
      </c>
      <c r="F54" s="57" t="str">
        <f>IFERROR(__xludf.DUMMYFUNCTION("""COMPUTED_VALUE"""),"2,31B $")</f>
        <v>2,31B $</v>
      </c>
      <c r="G54" s="57" t="str">
        <f>IFERROR(__xludf.DUMMYFUNCTION("""COMPUTED_VALUE"""),"859,26 $")</f>
        <v>859,26 $</v>
      </c>
      <c r="H54" s="58">
        <f>IFERROR(__xludf.DUMMYFUNCTION("""COMPUTED_VALUE"""),0.0)</f>
        <v>0</v>
      </c>
      <c r="I54" s="57" t="str">
        <f>IFERROR(__xludf.DUMMYFUNCTION("""COMPUTED_VALUE"""),"+65,50%")</f>
        <v>+65,50%</v>
      </c>
      <c r="J54" s="57" t="str">
        <f>IFERROR(__xludf.DUMMYFUNCTION("""COMPUTED_VALUE"""),"+8,71K%")</f>
        <v>+8,71K%</v>
      </c>
    </row>
    <row r="55">
      <c r="A55" s="57">
        <f>IFERROR(__xludf.DUMMYFUNCTION("""COMPUTED_VALUE"""),54.0)</f>
        <v>54</v>
      </c>
      <c r="B55" s="57"/>
      <c r="C55" s="57" t="str">
        <f>IFERROR(__xludf.DUMMYFUNCTION("""COMPUTED_VALUE"""),"Decred")</f>
        <v>Decred</v>
      </c>
      <c r="D55" s="57" t="str">
        <f>IFERROR(__xludf.DUMMYFUNCTION("""COMPUTED_VALUE"""),"DCR")</f>
        <v>DCR</v>
      </c>
      <c r="E55" s="57">
        <f>IFERROR(__xludf.DUMMYFUNCTION("""COMPUTED_VALUE"""),171.029)</f>
        <v>171.029</v>
      </c>
      <c r="F55" s="57" t="str">
        <f>IFERROR(__xludf.DUMMYFUNCTION("""COMPUTED_VALUE"""),"2,28B $")</f>
        <v>2,28B $</v>
      </c>
      <c r="G55" s="57" t="str">
        <f>IFERROR(__xludf.DUMMYFUNCTION("""COMPUTED_VALUE"""),"16,59M $")</f>
        <v>16,59M $</v>
      </c>
      <c r="H55" s="32">
        <f>IFERROR(__xludf.DUMMYFUNCTION("""COMPUTED_VALUE"""),2.0E-4)</f>
        <v>0.0002</v>
      </c>
      <c r="I55" s="57" t="str">
        <f>IFERROR(__xludf.DUMMYFUNCTION("""COMPUTED_VALUE"""),"+1,30%")</f>
        <v>+1,30%</v>
      </c>
      <c r="J55" s="57" t="str">
        <f>IFERROR(__xludf.DUMMYFUNCTION("""COMPUTED_VALUE"""),"+16,46%")</f>
        <v>+16,46%</v>
      </c>
    </row>
    <row r="56">
      <c r="A56" s="57">
        <f>IFERROR(__xludf.DUMMYFUNCTION("""COMPUTED_VALUE"""),55.0)</f>
        <v>55</v>
      </c>
      <c r="B56" s="57"/>
      <c r="C56" s="57" t="str">
        <f>IFERROR(__xludf.DUMMYFUNCTION("""COMPUTED_VALUE"""),"Kusama")</f>
        <v>Kusama</v>
      </c>
      <c r="D56" s="57" t="str">
        <f>IFERROR(__xludf.DUMMYFUNCTION("""COMPUTED_VALUE"""),"KSM")</f>
        <v>KSM</v>
      </c>
      <c r="E56" s="57">
        <f>IFERROR(__xludf.DUMMYFUNCTION("""COMPUTED_VALUE"""),272.12)</f>
        <v>272.12</v>
      </c>
      <c r="F56" s="57" t="str">
        <f>IFERROR(__xludf.DUMMYFUNCTION("""COMPUTED_VALUE"""),"2,28B $")</f>
        <v>2,28B $</v>
      </c>
      <c r="G56" s="57" t="str">
        <f>IFERROR(__xludf.DUMMYFUNCTION("""COMPUTED_VALUE"""),"154,34M $")</f>
        <v>154,34M $</v>
      </c>
      <c r="H56" s="32">
        <f>IFERROR(__xludf.DUMMYFUNCTION("""COMPUTED_VALUE"""),0.0015)</f>
        <v>0.0015</v>
      </c>
      <c r="I56" s="57" t="str">
        <f>IFERROR(__xludf.DUMMYFUNCTION("""COMPUTED_VALUE"""),"+1,61%")</f>
        <v>+1,61%</v>
      </c>
      <c r="J56" s="57" t="str">
        <f>IFERROR(__xludf.DUMMYFUNCTION("""COMPUTED_VALUE"""),"+24,92%")</f>
        <v>+24,92%</v>
      </c>
    </row>
    <row r="57">
      <c r="A57" s="57">
        <f>IFERROR(__xludf.DUMMYFUNCTION("""COMPUTED_VALUE"""),56.0)</f>
        <v>56</v>
      </c>
      <c r="B57" s="57"/>
      <c r="C57" s="57" t="str">
        <f>IFERROR(__xludf.DUMMYFUNCTION("""COMPUTED_VALUE"""),"Huobi Token")</f>
        <v>Huobi Token</v>
      </c>
      <c r="D57" s="57" t="str">
        <f>IFERROR(__xludf.DUMMYFUNCTION("""COMPUTED_VALUE"""),"HT")</f>
        <v>HT</v>
      </c>
      <c r="E57" s="57">
        <f>IFERROR(__xludf.DUMMYFUNCTION("""COMPUTED_VALUE"""),13.3501)</f>
        <v>13.3501</v>
      </c>
      <c r="F57" s="57" t="str">
        <f>IFERROR(__xludf.DUMMYFUNCTION("""COMPUTED_VALUE"""),"2,20B $")</f>
        <v>2,20B $</v>
      </c>
      <c r="G57" s="57" t="str">
        <f>IFERROR(__xludf.DUMMYFUNCTION("""COMPUTED_VALUE"""),"204,61M $")</f>
        <v>204,61M $</v>
      </c>
      <c r="H57" s="32">
        <f>IFERROR(__xludf.DUMMYFUNCTION("""COMPUTED_VALUE"""),0.0019)</f>
        <v>0.0019</v>
      </c>
      <c r="I57" s="57" t="str">
        <f>IFERROR(__xludf.DUMMYFUNCTION("""COMPUTED_VALUE"""),"+0,71%")</f>
        <v>+0,71%</v>
      </c>
      <c r="J57" s="57" t="str">
        <f>IFERROR(__xludf.DUMMYFUNCTION("""COMPUTED_VALUE"""),"+9,44%")</f>
        <v>+9,44%</v>
      </c>
    </row>
    <row r="58">
      <c r="A58" s="57">
        <f>IFERROR(__xludf.DUMMYFUNCTION("""COMPUTED_VALUE"""),57.0)</f>
        <v>57</v>
      </c>
      <c r="B58" s="57"/>
      <c r="C58" s="57" t="str">
        <f>IFERROR(__xludf.DUMMYFUNCTION("""COMPUTED_VALUE"""),"Chiliz")</f>
        <v>Chiliz</v>
      </c>
      <c r="D58" s="57" t="str">
        <f>IFERROR(__xludf.DUMMYFUNCTION("""COMPUTED_VALUE"""),"CHZ")</f>
        <v>CHZ</v>
      </c>
      <c r="E58" s="57">
        <f>IFERROR(__xludf.DUMMYFUNCTION("""COMPUTED_VALUE"""),0.368821)</f>
        <v>0.368821</v>
      </c>
      <c r="F58" s="57" t="str">
        <f>IFERROR(__xludf.DUMMYFUNCTION("""COMPUTED_VALUE"""),"2,16B $")</f>
        <v>2,16B $</v>
      </c>
      <c r="G58" s="57" t="str">
        <f>IFERROR(__xludf.DUMMYFUNCTION("""COMPUTED_VALUE"""),"304,83M $")</f>
        <v>304,83M $</v>
      </c>
      <c r="H58" s="32">
        <f>IFERROR(__xludf.DUMMYFUNCTION("""COMPUTED_VALUE"""),0.0029)</f>
        <v>0.0029</v>
      </c>
      <c r="I58" s="57" t="str">
        <f>IFERROR(__xludf.DUMMYFUNCTION("""COMPUTED_VALUE"""),"+1,11%")</f>
        <v>+1,11%</v>
      </c>
      <c r="J58" s="57" t="str">
        <f>IFERROR(__xludf.DUMMYFUNCTION("""COMPUTED_VALUE"""),"+33,11%")</f>
        <v>+33,11%</v>
      </c>
    </row>
    <row r="59">
      <c r="A59" s="57">
        <f>IFERROR(__xludf.DUMMYFUNCTION("""COMPUTED_VALUE"""),58.0)</f>
        <v>58</v>
      </c>
      <c r="B59" s="57"/>
      <c r="C59" s="57" t="str">
        <f>IFERROR(__xludf.DUMMYFUNCTION("""COMPUTED_VALUE"""),"Dash")</f>
        <v>Dash</v>
      </c>
      <c r="D59" s="57" t="str">
        <f>IFERROR(__xludf.DUMMYFUNCTION("""COMPUTED_VALUE"""),"DASH")</f>
        <v>DASH</v>
      </c>
      <c r="E59" s="57">
        <f>IFERROR(__xludf.DUMMYFUNCTION("""COMPUTED_VALUE"""),207.65)</f>
        <v>207.65</v>
      </c>
      <c r="F59" s="57" t="str">
        <f>IFERROR(__xludf.DUMMYFUNCTION("""COMPUTED_VALUE"""),"2,14B $")</f>
        <v>2,14B $</v>
      </c>
      <c r="G59" s="57" t="str">
        <f>IFERROR(__xludf.DUMMYFUNCTION("""COMPUTED_VALUE"""),"390,89M $")</f>
        <v>390,89M $</v>
      </c>
      <c r="H59" s="32">
        <f>IFERROR(__xludf.DUMMYFUNCTION("""COMPUTED_VALUE"""),0.0037)</f>
        <v>0.0037</v>
      </c>
      <c r="I59" s="57" t="str">
        <f>IFERROR(__xludf.DUMMYFUNCTION("""COMPUTED_VALUE"""),"+6,74%")</f>
        <v>+6,74%</v>
      </c>
      <c r="J59" s="57" t="str">
        <f>IFERROR(__xludf.DUMMYFUNCTION("""COMPUTED_VALUE"""),"+28,48%")</f>
        <v>+28,48%</v>
      </c>
    </row>
    <row r="60">
      <c r="A60" s="57">
        <f>IFERROR(__xludf.DUMMYFUNCTION("""COMPUTED_VALUE"""),59.0)</f>
        <v>59</v>
      </c>
      <c r="B60" s="57"/>
      <c r="C60" s="57" t="str">
        <f>IFERROR(__xludf.DUMMYFUNCTION("""COMPUTED_VALUE"""),"TerraUSD")</f>
        <v>TerraUSD</v>
      </c>
      <c r="D60" s="57" t="str">
        <f>IFERROR(__xludf.DUMMYFUNCTION("""COMPUTED_VALUE"""),"UST")</f>
        <v>UST</v>
      </c>
      <c r="E60" s="57">
        <f>IFERROR(__xludf.DUMMYFUNCTION("""COMPUTED_VALUE"""),1.00434)</f>
        <v>1.00434</v>
      </c>
      <c r="F60" s="57" t="str">
        <f>IFERROR(__xludf.DUMMYFUNCTION("""COMPUTED_VALUE"""),"2,11B $")</f>
        <v>2,11B $</v>
      </c>
      <c r="G60" s="57" t="str">
        <f>IFERROR(__xludf.DUMMYFUNCTION("""COMPUTED_VALUE"""),"36,33M $")</f>
        <v>36,33M $</v>
      </c>
      <c r="H60" s="32">
        <f>IFERROR(__xludf.DUMMYFUNCTION("""COMPUTED_VALUE"""),3.0E-4)</f>
        <v>0.0003</v>
      </c>
      <c r="I60" s="57" t="str">
        <f>IFERROR(__xludf.DUMMYFUNCTION("""COMPUTED_VALUE"""),"+0,32%")</f>
        <v>+0,32%</v>
      </c>
      <c r="J60" s="57" t="str">
        <f>IFERROR(__xludf.DUMMYFUNCTION("""COMPUTED_VALUE"""),"+0,25%")</f>
        <v>+0,25%</v>
      </c>
    </row>
    <row r="61">
      <c r="A61" s="57">
        <f>IFERROR(__xludf.DUMMYFUNCTION("""COMPUTED_VALUE"""),60.0)</f>
        <v>60</v>
      </c>
      <c r="B61" s="57"/>
      <c r="C61" s="57" t="str">
        <f>IFERROR(__xludf.DUMMYFUNCTION("""COMPUTED_VALUE"""),"Holo")</f>
        <v>Holo</v>
      </c>
      <c r="D61" s="57" t="str">
        <f>IFERROR(__xludf.DUMMYFUNCTION("""COMPUTED_VALUE"""),"HOT")</f>
        <v>HOT</v>
      </c>
      <c r="E61" s="57">
        <f>IFERROR(__xludf.DUMMYFUNCTION("""COMPUTED_VALUE"""),0.011837)</f>
        <v>0.011837</v>
      </c>
      <c r="F61" s="57" t="str">
        <f>IFERROR(__xludf.DUMMYFUNCTION("""COMPUTED_VALUE"""),"1,99B $")</f>
        <v>1,99B $</v>
      </c>
      <c r="G61" s="57" t="str">
        <f>IFERROR(__xludf.DUMMYFUNCTION("""COMPUTED_VALUE"""),"209,84M $")</f>
        <v>209,84M $</v>
      </c>
      <c r="H61" s="32">
        <f>IFERROR(__xludf.DUMMYFUNCTION("""COMPUTED_VALUE"""),0.002)</f>
        <v>0.002</v>
      </c>
      <c r="I61" s="32">
        <f>IFERROR(__xludf.DUMMYFUNCTION("""COMPUTED_VALUE"""),-0.0055)</f>
        <v>-0.0055</v>
      </c>
      <c r="J61" s="57" t="str">
        <f>IFERROR(__xludf.DUMMYFUNCTION("""COMPUTED_VALUE"""),"+40,99%")</f>
        <v>+40,99%</v>
      </c>
    </row>
    <row r="62">
      <c r="A62" s="57">
        <f>IFERROR(__xludf.DUMMYFUNCTION("""COMPUTED_VALUE"""),61.0)</f>
        <v>61</v>
      </c>
      <c r="B62" s="57"/>
      <c r="C62" s="57" t="str">
        <f>IFERROR(__xludf.DUMMYFUNCTION("""COMPUTED_VALUE"""),"NEM")</f>
        <v>NEM</v>
      </c>
      <c r="D62" s="57" t="str">
        <f>IFERROR(__xludf.DUMMYFUNCTION("""COMPUTED_VALUE"""),"XEM")</f>
        <v>XEM</v>
      </c>
      <c r="E62" s="57">
        <f>IFERROR(__xludf.DUMMYFUNCTION("""COMPUTED_VALUE"""),0.21226)</f>
        <v>0.21226</v>
      </c>
      <c r="F62" s="57" t="str">
        <f>IFERROR(__xludf.DUMMYFUNCTION("""COMPUTED_VALUE"""),"1,90B $")</f>
        <v>1,90B $</v>
      </c>
      <c r="G62" s="57" t="str">
        <f>IFERROR(__xludf.DUMMYFUNCTION("""COMPUTED_VALUE"""),"125,51M $")</f>
        <v>125,51M $</v>
      </c>
      <c r="H62" s="32">
        <f>IFERROR(__xludf.DUMMYFUNCTION("""COMPUTED_VALUE"""),0.0012)</f>
        <v>0.0012</v>
      </c>
      <c r="I62" s="57" t="str">
        <f>IFERROR(__xludf.DUMMYFUNCTION("""COMPUTED_VALUE"""),"+3,99%")</f>
        <v>+3,99%</v>
      </c>
      <c r="J62" s="57" t="str">
        <f>IFERROR(__xludf.DUMMYFUNCTION("""COMPUTED_VALUE"""),"+20,22%")</f>
        <v>+20,22%</v>
      </c>
    </row>
    <row r="63">
      <c r="A63" s="57">
        <f>IFERROR(__xludf.DUMMYFUNCTION("""COMPUTED_VALUE"""),62.0)</f>
        <v>62</v>
      </c>
      <c r="B63" s="57"/>
      <c r="C63" s="57" t="str">
        <f>IFERROR(__xludf.DUMMYFUNCTION("""COMPUTED_VALUE"""),"THORChain")</f>
        <v>THORChain</v>
      </c>
      <c r="D63" s="57" t="str">
        <f>IFERROR(__xludf.DUMMYFUNCTION("""COMPUTED_VALUE"""),"RUNE")</f>
        <v>RUNE</v>
      </c>
      <c r="E63" s="57">
        <f>IFERROR(__xludf.DUMMYFUNCTION("""COMPUTED_VALUE"""),8.257)</f>
        <v>8.257</v>
      </c>
      <c r="F63" s="57" t="str">
        <f>IFERROR(__xludf.DUMMYFUNCTION("""COMPUTED_VALUE"""),"1,85B $")</f>
        <v>1,85B $</v>
      </c>
      <c r="G63" s="57" t="str">
        <f>IFERROR(__xludf.DUMMYFUNCTION("""COMPUTED_VALUE"""),"191,13M $")</f>
        <v>191,13M $</v>
      </c>
      <c r="H63" s="32">
        <f>IFERROR(__xludf.DUMMYFUNCTION("""COMPUTED_VALUE"""),0.0018)</f>
        <v>0.0018</v>
      </c>
      <c r="I63" s="57" t="str">
        <f>IFERROR(__xludf.DUMMYFUNCTION("""COMPUTED_VALUE"""),"+8,15%")</f>
        <v>+8,15%</v>
      </c>
      <c r="J63" s="57" t="str">
        <f>IFERROR(__xludf.DUMMYFUNCTION("""COMPUTED_VALUE"""),"+19,93%")</f>
        <v>+19,93%</v>
      </c>
    </row>
    <row r="64">
      <c r="A64" s="57">
        <f>IFERROR(__xludf.DUMMYFUNCTION("""COMPUTED_VALUE"""),63.0)</f>
        <v>63</v>
      </c>
      <c r="B64" s="57"/>
      <c r="C64" s="57" t="str">
        <f>IFERROR(__xludf.DUMMYFUNCTION("""COMPUTED_VALUE"""),"Quant")</f>
        <v>Quant</v>
      </c>
      <c r="D64" s="57" t="str">
        <f>IFERROR(__xludf.DUMMYFUNCTION("""COMPUTED_VALUE"""),"QNT")</f>
        <v>QNT</v>
      </c>
      <c r="E64" s="57">
        <f>IFERROR(__xludf.DUMMYFUNCTION("""COMPUTED_VALUE"""),153.38)</f>
        <v>153.38</v>
      </c>
      <c r="F64" s="57" t="str">
        <f>IFERROR(__xludf.DUMMYFUNCTION("""COMPUTED_VALUE"""),"1,84B $")</f>
        <v>1,84B $</v>
      </c>
      <c r="G64" s="57" t="str">
        <f>IFERROR(__xludf.DUMMYFUNCTION("""COMPUTED_VALUE"""),"37,81M $")</f>
        <v>37,81M $</v>
      </c>
      <c r="H64" s="32">
        <f>IFERROR(__xludf.DUMMYFUNCTION("""COMPUTED_VALUE"""),4.0E-4)</f>
        <v>0.0004</v>
      </c>
      <c r="I64" s="57" t="str">
        <f>IFERROR(__xludf.DUMMYFUNCTION("""COMPUTED_VALUE"""),"+1,25%")</f>
        <v>+1,25%</v>
      </c>
      <c r="J64" s="57" t="str">
        <f>IFERROR(__xludf.DUMMYFUNCTION("""COMPUTED_VALUE"""),"+3,01%")</f>
        <v>+3,01%</v>
      </c>
    </row>
    <row r="65">
      <c r="A65" s="57">
        <f>IFERROR(__xludf.DUMMYFUNCTION("""COMPUTED_VALUE"""),64.0)</f>
        <v>64</v>
      </c>
      <c r="B65" s="57"/>
      <c r="C65" s="57" t="str">
        <f>IFERROR(__xludf.DUMMYFUNCTION("""COMPUTED_VALUE"""),"Zcash")</f>
        <v>Zcash</v>
      </c>
      <c r="D65" s="57" t="str">
        <f>IFERROR(__xludf.DUMMYFUNCTION("""COMPUTED_VALUE"""),"ZEC")</f>
        <v>ZEC</v>
      </c>
      <c r="E65" s="57">
        <f>IFERROR(__xludf.DUMMYFUNCTION("""COMPUTED_VALUE"""),149.76)</f>
        <v>149.76</v>
      </c>
      <c r="F65" s="57" t="str">
        <f>IFERROR(__xludf.DUMMYFUNCTION("""COMPUTED_VALUE"""),"1,83B $")</f>
        <v>1,83B $</v>
      </c>
      <c r="G65" s="57" t="str">
        <f>IFERROR(__xludf.DUMMYFUNCTION("""COMPUTED_VALUE"""),"300,67M $")</f>
        <v>300,67M $</v>
      </c>
      <c r="H65" s="32">
        <f>IFERROR(__xludf.DUMMYFUNCTION("""COMPUTED_VALUE"""),0.0028)</f>
        <v>0.0028</v>
      </c>
      <c r="I65" s="57" t="str">
        <f>IFERROR(__xludf.DUMMYFUNCTION("""COMPUTED_VALUE"""),"+7,14%")</f>
        <v>+7,14%</v>
      </c>
      <c r="J65" s="57" t="str">
        <f>IFERROR(__xludf.DUMMYFUNCTION("""COMPUTED_VALUE"""),"+19,23%")</f>
        <v>+19,23%</v>
      </c>
    </row>
    <row r="66">
      <c r="A66" s="57">
        <f>IFERROR(__xludf.DUMMYFUNCTION("""COMPUTED_VALUE"""),65.0)</f>
        <v>65</v>
      </c>
      <c r="B66" s="57"/>
      <c r="C66" s="57" t="str">
        <f>IFERROR(__xludf.DUMMYFUNCTION("""COMPUTED_VALUE"""),"Theta Fuel")</f>
        <v>Theta Fuel</v>
      </c>
      <c r="D66" s="57" t="str">
        <f>IFERROR(__xludf.DUMMYFUNCTION("""COMPUTED_VALUE"""),"TFUEL")</f>
        <v>TFUEL</v>
      </c>
      <c r="E66" s="57">
        <f>IFERROR(__xludf.DUMMYFUNCTION("""COMPUTED_VALUE"""),0.34526)</f>
        <v>0.34526</v>
      </c>
      <c r="F66" s="57" t="str">
        <f>IFERROR(__xludf.DUMMYFUNCTION("""COMPUTED_VALUE"""),"1,82B $")</f>
        <v>1,82B $</v>
      </c>
      <c r="G66" s="57" t="str">
        <f>IFERROR(__xludf.DUMMYFUNCTION("""COMPUTED_VALUE"""),"84,43M $")</f>
        <v>84,43M $</v>
      </c>
      <c r="H66" s="32">
        <f>IFERROR(__xludf.DUMMYFUNCTION("""COMPUTED_VALUE"""),8.0E-4)</f>
        <v>0.0008</v>
      </c>
      <c r="I66" s="57" t="str">
        <f>IFERROR(__xludf.DUMMYFUNCTION("""COMPUTED_VALUE"""),"+0,75%")</f>
        <v>+0,75%</v>
      </c>
      <c r="J66" s="57" t="str">
        <f>IFERROR(__xludf.DUMMYFUNCTION("""COMPUTED_VALUE"""),"+18,81%")</f>
        <v>+18,81%</v>
      </c>
    </row>
    <row r="67">
      <c r="A67" s="57">
        <f>IFERROR(__xludf.DUMMYFUNCTION("""COMPUTED_VALUE"""),66.0)</f>
        <v>66</v>
      </c>
      <c r="B67" s="57"/>
      <c r="C67" s="57" t="str">
        <f>IFERROR(__xludf.DUMMYFUNCTION("""COMPUTED_VALUE"""),"Helium")</f>
        <v>Helium</v>
      </c>
      <c r="D67" s="57" t="str">
        <f>IFERROR(__xludf.DUMMYFUNCTION("""COMPUTED_VALUE"""),"HNT")</f>
        <v>HNT</v>
      </c>
      <c r="E67" s="57">
        <f>IFERROR(__xludf.DUMMYFUNCTION("""COMPUTED_VALUE"""),18.1)</f>
        <v>18.1</v>
      </c>
      <c r="F67" s="57" t="str">
        <f>IFERROR(__xludf.DUMMYFUNCTION("""COMPUTED_VALUE"""),"1,72B $")</f>
        <v>1,72B $</v>
      </c>
      <c r="G67" s="57" t="str">
        <f>IFERROR(__xludf.DUMMYFUNCTION("""COMPUTED_VALUE"""),"44,49M $")</f>
        <v>44,49M $</v>
      </c>
      <c r="H67" s="32">
        <f>IFERROR(__xludf.DUMMYFUNCTION("""COMPUTED_VALUE"""),4.0E-4)</f>
        <v>0.0004</v>
      </c>
      <c r="I67" s="57" t="str">
        <f>IFERROR(__xludf.DUMMYFUNCTION("""COMPUTED_VALUE"""),"+10,59%")</f>
        <v>+10,59%</v>
      </c>
      <c r="J67" s="57" t="str">
        <f>IFERROR(__xludf.DUMMYFUNCTION("""COMPUTED_VALUE"""),"+23,02%")</f>
        <v>+23,02%</v>
      </c>
    </row>
    <row r="68">
      <c r="A68" s="57">
        <f>IFERROR(__xludf.DUMMYFUNCTION("""COMPUTED_VALUE"""),67.0)</f>
        <v>67</v>
      </c>
      <c r="B68" s="57"/>
      <c r="C68" s="57" t="str">
        <f>IFERROR(__xludf.DUMMYFUNCTION("""COMPUTED_VALUE"""),"Stacks")</f>
        <v>Stacks</v>
      </c>
      <c r="D68" s="57" t="str">
        <f>IFERROR(__xludf.DUMMYFUNCTION("""COMPUTED_VALUE"""),"STX")</f>
        <v>STX</v>
      </c>
      <c r="E68" s="57">
        <f>IFERROR(__xludf.DUMMYFUNCTION("""COMPUTED_VALUE"""),1.4119)</f>
        <v>1.4119</v>
      </c>
      <c r="F68" s="57" t="str">
        <f>IFERROR(__xludf.DUMMYFUNCTION("""COMPUTED_VALUE"""),"1,71B $")</f>
        <v>1,71B $</v>
      </c>
      <c r="G68" s="57" t="str">
        <f>IFERROR(__xludf.DUMMYFUNCTION("""COMPUTED_VALUE"""),"28,49M $")</f>
        <v>28,49M $</v>
      </c>
      <c r="H68" s="32">
        <f>IFERROR(__xludf.DUMMYFUNCTION("""COMPUTED_VALUE"""),3.0E-4)</f>
        <v>0.0003</v>
      </c>
      <c r="I68" s="57" t="str">
        <f>IFERROR(__xludf.DUMMYFUNCTION("""COMPUTED_VALUE"""),"+1,04%")</f>
        <v>+1,04%</v>
      </c>
      <c r="J68" s="57" t="str">
        <f>IFERROR(__xludf.DUMMYFUNCTION("""COMPUTED_VALUE"""),"+7,92%")</f>
        <v>+7,92%</v>
      </c>
    </row>
    <row r="69">
      <c r="A69" s="57">
        <f>IFERROR(__xludf.DUMMYFUNCTION("""COMPUTED_VALUE"""),68.0)</f>
        <v>68</v>
      </c>
      <c r="B69" s="57"/>
      <c r="C69" s="57" t="str">
        <f>IFERROR(__xludf.DUMMYFUNCTION("""COMPUTED_VALUE"""),"SushiSwap")</f>
        <v>SushiSwap</v>
      </c>
      <c r="D69" s="57" t="str">
        <f>IFERROR(__xludf.DUMMYFUNCTION("""COMPUTED_VALUE"""),"SUSHI")</f>
        <v>SUSHI</v>
      </c>
      <c r="E69" s="57">
        <f>IFERROR(__xludf.DUMMYFUNCTION("""COMPUTED_VALUE"""),11.955)</f>
        <v>11.955</v>
      </c>
      <c r="F69" s="57" t="str">
        <f>IFERROR(__xludf.DUMMYFUNCTION("""COMPUTED_VALUE"""),"1,51B $")</f>
        <v>1,51B $</v>
      </c>
      <c r="G69" s="57" t="str">
        <f>IFERROR(__xludf.DUMMYFUNCTION("""COMPUTED_VALUE"""),"258,36M $")</f>
        <v>258,36M $</v>
      </c>
      <c r="H69" s="32">
        <f>IFERROR(__xludf.DUMMYFUNCTION("""COMPUTED_VALUE"""),0.0024)</f>
        <v>0.0024</v>
      </c>
      <c r="I69" s="57" t="str">
        <f>IFERROR(__xludf.DUMMYFUNCTION("""COMPUTED_VALUE"""),"+0,17%")</f>
        <v>+0,17%</v>
      </c>
      <c r="J69" s="57" t="str">
        <f>IFERROR(__xludf.DUMMYFUNCTION("""COMPUTED_VALUE"""),"+27,28%")</f>
        <v>+27,28%</v>
      </c>
    </row>
    <row r="70">
      <c r="A70" s="57">
        <f>IFERROR(__xludf.DUMMYFUNCTION("""COMPUTED_VALUE"""),69.0)</f>
        <v>69</v>
      </c>
      <c r="B70" s="57"/>
      <c r="C70" s="57" t="str">
        <f>IFERROR(__xludf.DUMMYFUNCTION("""COMPUTED_VALUE"""),"Decentraland")</f>
        <v>Decentraland</v>
      </c>
      <c r="D70" s="57" t="str">
        <f>IFERROR(__xludf.DUMMYFUNCTION("""COMPUTED_VALUE"""),"MANA")</f>
        <v>MANA</v>
      </c>
      <c r="E70" s="57">
        <f>IFERROR(__xludf.DUMMYFUNCTION("""COMPUTED_VALUE"""),0.8312)</f>
        <v>0.8312</v>
      </c>
      <c r="F70" s="57" t="str">
        <f>IFERROR(__xludf.DUMMYFUNCTION("""COMPUTED_VALUE"""),"1,48B $")</f>
        <v>1,48B $</v>
      </c>
      <c r="G70" s="57" t="str">
        <f>IFERROR(__xludf.DUMMYFUNCTION("""COMPUTED_VALUE"""),"108,85M $")</f>
        <v>108,85M $</v>
      </c>
      <c r="H70" s="32">
        <f>IFERROR(__xludf.DUMMYFUNCTION("""COMPUTED_VALUE"""),0.001)</f>
        <v>0.001</v>
      </c>
      <c r="I70" s="57" t="str">
        <f>IFERROR(__xludf.DUMMYFUNCTION("""COMPUTED_VALUE"""),"+1,72%")</f>
        <v>+1,72%</v>
      </c>
      <c r="J70" s="57" t="str">
        <f>IFERROR(__xludf.DUMMYFUNCTION("""COMPUTED_VALUE"""),"+15,45%")</f>
        <v>+15,45%</v>
      </c>
    </row>
    <row r="71">
      <c r="A71" s="57">
        <f>IFERROR(__xludf.DUMMYFUNCTION("""COMPUTED_VALUE"""),70.0)</f>
        <v>70</v>
      </c>
      <c r="B71" s="57"/>
      <c r="C71" s="57" t="str">
        <f>IFERROR(__xludf.DUMMYFUNCTION("""COMPUTED_VALUE"""),"Celsius")</f>
        <v>Celsius</v>
      </c>
      <c r="D71" s="57" t="str">
        <f>IFERROR(__xludf.DUMMYFUNCTION("""COMPUTED_VALUE"""),"CEL")</f>
        <v>CEL</v>
      </c>
      <c r="E71" s="57">
        <f>IFERROR(__xludf.DUMMYFUNCTION("""COMPUTED_VALUE"""),6.1343)</f>
        <v>6.1343</v>
      </c>
      <c r="F71" s="57" t="str">
        <f>IFERROR(__xludf.DUMMYFUNCTION("""COMPUTED_VALUE"""),"1,46B $")</f>
        <v>1,46B $</v>
      </c>
      <c r="G71" s="57" t="str">
        <f>IFERROR(__xludf.DUMMYFUNCTION("""COMPUTED_VALUE"""),"6,91M $")</f>
        <v>6,91M $</v>
      </c>
      <c r="H71" s="32">
        <f>IFERROR(__xludf.DUMMYFUNCTION("""COMPUTED_VALUE"""),1.0E-4)</f>
        <v>0.0001</v>
      </c>
      <c r="I71" s="57" t="str">
        <f>IFERROR(__xludf.DUMMYFUNCTION("""COMPUTED_VALUE"""),"+0,12%")</f>
        <v>+0,12%</v>
      </c>
      <c r="J71" s="32">
        <f>IFERROR(__xludf.DUMMYFUNCTION("""COMPUTED_VALUE"""),-0.0227)</f>
        <v>-0.0227</v>
      </c>
    </row>
    <row r="72">
      <c r="A72" s="57">
        <f>IFERROR(__xludf.DUMMYFUNCTION("""COMPUTED_VALUE"""),71.0)</f>
        <v>71</v>
      </c>
      <c r="B72" s="57"/>
      <c r="C72" s="57" t="str">
        <f>IFERROR(__xludf.DUMMYFUNCTION("""COMPUTED_VALUE"""),"Synthetix")</f>
        <v>Synthetix</v>
      </c>
      <c r="D72" s="57" t="str">
        <f>IFERROR(__xludf.DUMMYFUNCTION("""COMPUTED_VALUE"""),"SNX")</f>
        <v>SNX</v>
      </c>
      <c r="E72" s="57">
        <f>IFERROR(__xludf.DUMMYFUNCTION("""COMPUTED_VALUE"""),12.66)</f>
        <v>12.66</v>
      </c>
      <c r="F72" s="57" t="str">
        <f>IFERROR(__xludf.DUMMYFUNCTION("""COMPUTED_VALUE"""),"1,45B $")</f>
        <v>1,45B $</v>
      </c>
      <c r="G72" s="57" t="str">
        <f>IFERROR(__xludf.DUMMYFUNCTION("""COMPUTED_VALUE"""),"145,69M $")</f>
        <v>145,69M $</v>
      </c>
      <c r="H72" s="32">
        <f>IFERROR(__xludf.DUMMYFUNCTION("""COMPUTED_VALUE"""),0.0014)</f>
        <v>0.0014</v>
      </c>
      <c r="I72" s="32">
        <f>IFERROR(__xludf.DUMMYFUNCTION("""COMPUTED_VALUE"""),-0.036)</f>
        <v>-0.036</v>
      </c>
      <c r="J72" s="57" t="str">
        <f>IFERROR(__xludf.DUMMYFUNCTION("""COMPUTED_VALUE"""),"+31,52%")</f>
        <v>+31,52%</v>
      </c>
    </row>
    <row r="73">
      <c r="A73" s="57">
        <f>IFERROR(__xludf.DUMMYFUNCTION("""COMPUTED_VALUE"""),72.0)</f>
        <v>72</v>
      </c>
      <c r="B73" s="57"/>
      <c r="C73" s="57" t="str">
        <f>IFERROR(__xludf.DUMMYFUNCTION("""COMPUTED_VALUE"""),"yearn.finance")</f>
        <v>yearn.finance</v>
      </c>
      <c r="D73" s="57" t="str">
        <f>IFERROR(__xludf.DUMMYFUNCTION("""COMPUTED_VALUE"""),"YFI")</f>
        <v>YFI</v>
      </c>
      <c r="E73" s="57" t="str">
        <f>IFERROR(__xludf.DUMMYFUNCTION("""COMPUTED_VALUE"""),"39.138,42")</f>
        <v>39.138,42</v>
      </c>
      <c r="F73" s="57" t="str">
        <f>IFERROR(__xludf.DUMMYFUNCTION("""COMPUTED_VALUE"""),"1,43B $")</f>
        <v>1,43B $</v>
      </c>
      <c r="G73" s="57" t="str">
        <f>IFERROR(__xludf.DUMMYFUNCTION("""COMPUTED_VALUE"""),"230,39M $")</f>
        <v>230,39M $</v>
      </c>
      <c r="H73" s="32">
        <f>IFERROR(__xludf.DUMMYFUNCTION("""COMPUTED_VALUE"""),0.0022)</f>
        <v>0.0022</v>
      </c>
      <c r="I73" s="57" t="str">
        <f>IFERROR(__xludf.DUMMYFUNCTION("""COMPUTED_VALUE"""),"+0,17%")</f>
        <v>+0,17%</v>
      </c>
      <c r="J73" s="57" t="str">
        <f>IFERROR(__xludf.DUMMYFUNCTION("""COMPUTED_VALUE"""),"+19,45%")</f>
        <v>+19,45%</v>
      </c>
    </row>
    <row r="74">
      <c r="A74" s="57">
        <f>IFERROR(__xludf.DUMMYFUNCTION("""COMPUTED_VALUE"""),73.0)</f>
        <v>73</v>
      </c>
      <c r="B74" s="57"/>
      <c r="C74" s="57" t="str">
        <f>IFERROR(__xludf.DUMMYFUNCTION("""COMPUTED_VALUE"""),"NEAR Protocol")</f>
        <v>NEAR Protocol</v>
      </c>
      <c r="D74" s="57" t="str">
        <f>IFERROR(__xludf.DUMMYFUNCTION("""COMPUTED_VALUE"""),"NEAR")</f>
        <v>NEAR</v>
      </c>
      <c r="E74" s="57">
        <f>IFERROR(__xludf.DUMMYFUNCTION("""COMPUTED_VALUE"""),3.204)</f>
        <v>3.204</v>
      </c>
      <c r="F74" s="57" t="str">
        <f>IFERROR(__xludf.DUMMYFUNCTION("""COMPUTED_VALUE"""),"1,39B $")</f>
        <v>1,39B $</v>
      </c>
      <c r="G74" s="57" t="str">
        <f>IFERROR(__xludf.DUMMYFUNCTION("""COMPUTED_VALUE"""),"68,03M $")</f>
        <v>68,03M $</v>
      </c>
      <c r="H74" s="32">
        <f>IFERROR(__xludf.DUMMYFUNCTION("""COMPUTED_VALUE"""),6.0E-4)</f>
        <v>0.0006</v>
      </c>
      <c r="I74" s="57" t="str">
        <f>IFERROR(__xludf.DUMMYFUNCTION("""COMPUTED_VALUE"""),"+0,26%")</f>
        <v>+0,26%</v>
      </c>
      <c r="J74" s="57" t="str">
        <f>IFERROR(__xludf.DUMMYFUNCTION("""COMPUTED_VALUE"""),"+25,06%")</f>
        <v>+25,06%</v>
      </c>
    </row>
    <row r="75">
      <c r="A75" s="57">
        <f>IFERROR(__xludf.DUMMYFUNCTION("""COMPUTED_VALUE"""),74.0)</f>
        <v>74</v>
      </c>
      <c r="B75" s="57"/>
      <c r="C75" s="57" t="str">
        <f>IFERROR(__xludf.DUMMYFUNCTION("""COMPUTED_VALUE"""),"Enjin Coin")</f>
        <v>Enjin Coin</v>
      </c>
      <c r="D75" s="57" t="str">
        <f>IFERROR(__xludf.DUMMYFUNCTION("""COMPUTED_VALUE"""),"ENJ")</f>
        <v>ENJ</v>
      </c>
      <c r="E75" s="57">
        <f>IFERROR(__xludf.DUMMYFUNCTION("""COMPUTED_VALUE"""),1.651698)</f>
        <v>1.651698</v>
      </c>
      <c r="F75" s="57" t="str">
        <f>IFERROR(__xludf.DUMMYFUNCTION("""COMPUTED_VALUE"""),"1,37B $")</f>
        <v>1,37B $</v>
      </c>
      <c r="G75" s="57" t="str">
        <f>IFERROR(__xludf.DUMMYFUNCTION("""COMPUTED_VALUE"""),"116,01M $")</f>
        <v>116,01M $</v>
      </c>
      <c r="H75" s="32">
        <f>IFERROR(__xludf.DUMMYFUNCTION("""COMPUTED_VALUE"""),0.0011)</f>
        <v>0.0011</v>
      </c>
      <c r="I75" s="57" t="str">
        <f>IFERROR(__xludf.DUMMYFUNCTION("""COMPUTED_VALUE"""),"+0,15%")</f>
        <v>+0,15%</v>
      </c>
      <c r="J75" s="57" t="str">
        <f>IFERROR(__xludf.DUMMYFUNCTION("""COMPUTED_VALUE"""),"+16,80%")</f>
        <v>+16,80%</v>
      </c>
    </row>
    <row r="76">
      <c r="A76" s="57">
        <f>IFERROR(__xludf.DUMMYFUNCTION("""COMPUTED_VALUE"""),75.0)</f>
        <v>75</v>
      </c>
      <c r="B76" s="57"/>
      <c r="C76" s="57" t="str">
        <f>IFERROR(__xludf.DUMMYFUNCTION("""COMPUTED_VALUE"""),"Ravencoin")</f>
        <v>Ravencoin</v>
      </c>
      <c r="D76" s="57" t="str">
        <f>IFERROR(__xludf.DUMMYFUNCTION("""COMPUTED_VALUE"""),"RVN")</f>
        <v>RVN</v>
      </c>
      <c r="E76" s="57">
        <f>IFERROR(__xludf.DUMMYFUNCTION("""COMPUTED_VALUE"""),0.146559)</f>
        <v>0.146559</v>
      </c>
      <c r="F76" s="57" t="str">
        <f>IFERROR(__xludf.DUMMYFUNCTION("""COMPUTED_VALUE"""),"1,36B $")</f>
        <v>1,36B $</v>
      </c>
      <c r="G76" s="57" t="str">
        <f>IFERROR(__xludf.DUMMYFUNCTION("""COMPUTED_VALUE"""),"120,88M $")</f>
        <v>120,88M $</v>
      </c>
      <c r="H76" s="32">
        <f>IFERROR(__xludf.DUMMYFUNCTION("""COMPUTED_VALUE"""),0.0011)</f>
        <v>0.0011</v>
      </c>
      <c r="I76" s="32">
        <f>IFERROR(__xludf.DUMMYFUNCTION("""COMPUTED_VALUE"""),-0.0316)</f>
        <v>-0.0316</v>
      </c>
      <c r="J76" s="57" t="str">
        <f>IFERROR(__xludf.DUMMYFUNCTION("""COMPUTED_VALUE"""),"+57,90%")</f>
        <v>+57,90%</v>
      </c>
    </row>
    <row r="77">
      <c r="A77" s="57">
        <f>IFERROR(__xludf.DUMMYFUNCTION("""COMPUTED_VALUE"""),76.0)</f>
        <v>76</v>
      </c>
      <c r="B77" s="57"/>
      <c r="C77" s="57" t="str">
        <f>IFERROR(__xludf.DUMMYFUNCTION("""COMPUTED_VALUE"""),"Qtum")</f>
        <v>Qtum</v>
      </c>
      <c r="D77" s="57" t="str">
        <f>IFERROR(__xludf.DUMMYFUNCTION("""COMPUTED_VALUE"""),"QTUM")</f>
        <v>QTUM</v>
      </c>
      <c r="E77" s="57">
        <f>IFERROR(__xludf.DUMMYFUNCTION("""COMPUTED_VALUE"""),13.8403)</f>
        <v>13.8403</v>
      </c>
      <c r="F77" s="57" t="str">
        <f>IFERROR(__xludf.DUMMYFUNCTION("""COMPUTED_VALUE"""),"1,35B $")</f>
        <v>1,35B $</v>
      </c>
      <c r="G77" s="57" t="str">
        <f>IFERROR(__xludf.DUMMYFUNCTION("""COMPUTED_VALUE"""),"500,17M $")</f>
        <v>500,17M $</v>
      </c>
      <c r="H77" s="32">
        <f>IFERROR(__xludf.DUMMYFUNCTION("""COMPUTED_VALUE"""),0.0047)</f>
        <v>0.0047</v>
      </c>
      <c r="I77" s="57" t="str">
        <f>IFERROR(__xludf.DUMMYFUNCTION("""COMPUTED_VALUE"""),"+0,45%")</f>
        <v>+0,45%</v>
      </c>
      <c r="J77" s="57" t="str">
        <f>IFERROR(__xludf.DUMMYFUNCTION("""COMPUTED_VALUE"""),"+34,93%")</f>
        <v>+34,93%</v>
      </c>
    </row>
    <row r="78">
      <c r="A78" s="57">
        <f>IFERROR(__xludf.DUMMYFUNCTION("""COMPUTED_VALUE"""),77.0)</f>
        <v>77</v>
      </c>
      <c r="B78" s="57"/>
      <c r="C78" s="57" t="str">
        <f>IFERROR(__xludf.DUMMYFUNCTION("""COMPUTED_VALUE"""),"OKB")</f>
        <v>OKB</v>
      </c>
      <c r="D78" s="57" t="str">
        <f>IFERROR(__xludf.DUMMYFUNCTION("""COMPUTED_VALUE"""),"OKB")</f>
        <v>OKB</v>
      </c>
      <c r="E78" s="57">
        <f>IFERROR(__xludf.DUMMYFUNCTION("""COMPUTED_VALUE"""),21.995)</f>
        <v>21.995</v>
      </c>
      <c r="F78" s="57" t="str">
        <f>IFERROR(__xludf.DUMMYFUNCTION("""COMPUTED_VALUE"""),"1,32B $")</f>
        <v>1,32B $</v>
      </c>
      <c r="G78" s="57" t="str">
        <f>IFERROR(__xludf.DUMMYFUNCTION("""COMPUTED_VALUE"""),"507,08M $")</f>
        <v>507,08M $</v>
      </c>
      <c r="H78" s="32">
        <f>IFERROR(__xludf.DUMMYFUNCTION("""COMPUTED_VALUE"""),0.0048)</f>
        <v>0.0048</v>
      </c>
      <c r="I78" s="32">
        <f>IFERROR(__xludf.DUMMYFUNCTION("""COMPUTED_VALUE"""),-0.0194)</f>
        <v>-0.0194</v>
      </c>
      <c r="J78" s="32">
        <f>IFERROR(__xludf.DUMMYFUNCTION("""COMPUTED_VALUE"""),-0.0228)</f>
        <v>-0.0228</v>
      </c>
    </row>
    <row r="79">
      <c r="A79" s="57">
        <f>IFERROR(__xludf.DUMMYFUNCTION("""COMPUTED_VALUE"""),78.0)</f>
        <v>78</v>
      </c>
      <c r="B79" s="57"/>
      <c r="C79" s="57" t="str">
        <f>IFERROR(__xludf.DUMMYFUNCTION("""COMPUTED_VALUE"""),"Zilliqa")</f>
        <v>Zilliqa</v>
      </c>
      <c r="D79" s="57" t="str">
        <f>IFERROR(__xludf.DUMMYFUNCTION("""COMPUTED_VALUE"""),"ZIL")</f>
        <v>ZIL</v>
      </c>
      <c r="E79" s="57">
        <f>IFERROR(__xludf.DUMMYFUNCTION("""COMPUTED_VALUE"""),0.111746)</f>
        <v>0.111746</v>
      </c>
      <c r="F79" s="57" t="str">
        <f>IFERROR(__xludf.DUMMYFUNCTION("""COMPUTED_VALUE"""),"1,30B $")</f>
        <v>1,30B $</v>
      </c>
      <c r="G79" s="57" t="str">
        <f>IFERROR(__xludf.DUMMYFUNCTION("""COMPUTED_VALUE"""),"111,98M $")</f>
        <v>111,98M $</v>
      </c>
      <c r="H79" s="32">
        <f>IFERROR(__xludf.DUMMYFUNCTION("""COMPUTED_VALUE"""),0.0011)</f>
        <v>0.0011</v>
      </c>
      <c r="I79" s="57" t="str">
        <f>IFERROR(__xludf.DUMMYFUNCTION("""COMPUTED_VALUE"""),"+0,50%")</f>
        <v>+0,50%</v>
      </c>
      <c r="J79" s="57" t="str">
        <f>IFERROR(__xludf.DUMMYFUNCTION("""COMPUTED_VALUE"""),"+29,86%")</f>
        <v>+29,86%</v>
      </c>
    </row>
    <row r="80">
      <c r="A80" s="57">
        <f>IFERROR(__xludf.DUMMYFUNCTION("""COMPUTED_VALUE"""),79.0)</f>
        <v>79</v>
      </c>
      <c r="B80" s="57"/>
      <c r="C80" s="57" t="str">
        <f>IFERROR(__xludf.DUMMYFUNCTION("""COMPUTED_VALUE"""),"Flow")</f>
        <v>Flow</v>
      </c>
      <c r="D80" s="57" t="str">
        <f>IFERROR(__xludf.DUMMYFUNCTION("""COMPUTED_VALUE"""),"FLOW")</f>
        <v>FLOW</v>
      </c>
      <c r="E80" s="57">
        <f>IFERROR(__xludf.DUMMYFUNCTION("""COMPUTED_VALUE"""),22.7804)</f>
        <v>22.7804</v>
      </c>
      <c r="F80" s="57" t="str">
        <f>IFERROR(__xludf.DUMMYFUNCTION("""COMPUTED_VALUE"""),"1,30B $")</f>
        <v>1,30B $</v>
      </c>
      <c r="G80" s="57" t="str">
        <f>IFERROR(__xludf.DUMMYFUNCTION("""COMPUTED_VALUE"""),"98,17M $")</f>
        <v>98,17M $</v>
      </c>
      <c r="H80" s="32">
        <f>IFERROR(__xludf.DUMMYFUNCTION("""COMPUTED_VALUE"""),9.0E-4)</f>
        <v>0.0009</v>
      </c>
      <c r="I80" s="32">
        <f>IFERROR(__xludf.DUMMYFUNCTION("""COMPUTED_VALUE"""),-0.0037)</f>
        <v>-0.0037</v>
      </c>
      <c r="J80" s="57" t="str">
        <f>IFERROR(__xludf.DUMMYFUNCTION("""COMPUTED_VALUE"""),"+5,45%")</f>
        <v>+5,45%</v>
      </c>
    </row>
    <row r="81">
      <c r="A81" s="57">
        <f>IFERROR(__xludf.DUMMYFUNCTION("""COMPUTED_VALUE"""),80.0)</f>
        <v>80</v>
      </c>
      <c r="B81" s="57"/>
      <c r="C81" s="57" t="str">
        <f>IFERROR(__xludf.DUMMYFUNCTION("""COMPUTED_VALUE"""),"TrueUSD")</f>
        <v>TrueUSD</v>
      </c>
      <c r="D81" s="57" t="str">
        <f>IFERROR(__xludf.DUMMYFUNCTION("""COMPUTED_VALUE"""),"TUSD")</f>
        <v>TUSD</v>
      </c>
      <c r="E81" s="57">
        <f>IFERROR(__xludf.DUMMYFUNCTION("""COMPUTED_VALUE"""),0.9994)</f>
        <v>0.9994</v>
      </c>
      <c r="F81" s="57" t="str">
        <f>IFERROR(__xludf.DUMMYFUNCTION("""COMPUTED_VALUE"""),"1,29B $")</f>
        <v>1,29B $</v>
      </c>
      <c r="G81" s="57" t="str">
        <f>IFERROR(__xludf.DUMMYFUNCTION("""COMPUTED_VALUE"""),"78,26M $")</f>
        <v>78,26M $</v>
      </c>
      <c r="H81" s="32">
        <f>IFERROR(__xludf.DUMMYFUNCTION("""COMPUTED_VALUE"""),7.0E-4)</f>
        <v>0.0007</v>
      </c>
      <c r="I81" s="32">
        <f>IFERROR(__xludf.DUMMYFUNCTION("""COMPUTED_VALUE"""),1.0E-4)</f>
        <v>0.0001</v>
      </c>
      <c r="J81" s="57" t="str">
        <f>IFERROR(__xludf.DUMMYFUNCTION("""COMPUTED_VALUE"""),"+0,05%")</f>
        <v>+0,05%</v>
      </c>
    </row>
    <row r="82">
      <c r="A82" s="57">
        <f>IFERROR(__xludf.DUMMYFUNCTION("""COMPUTED_VALUE"""),81.0)</f>
        <v>81</v>
      </c>
      <c r="B82" s="57"/>
      <c r="C82" s="57" t="str">
        <f>IFERROR(__xludf.DUMMYFUNCTION("""COMPUTED_VALUE"""),"Bitcoin Gold")</f>
        <v>Bitcoin Gold</v>
      </c>
      <c r="D82" s="57" t="str">
        <f>IFERROR(__xludf.DUMMYFUNCTION("""COMPUTED_VALUE"""),"BTG")</f>
        <v>BTG</v>
      </c>
      <c r="E82" s="57">
        <f>IFERROR(__xludf.DUMMYFUNCTION("""COMPUTED_VALUE"""),70.93)</f>
        <v>70.93</v>
      </c>
      <c r="F82" s="57" t="str">
        <f>IFERROR(__xludf.DUMMYFUNCTION("""COMPUTED_VALUE"""),"1,23B $")</f>
        <v>1,23B $</v>
      </c>
      <c r="G82" s="57" t="str">
        <f>IFERROR(__xludf.DUMMYFUNCTION("""COMPUTED_VALUE"""),"235,02M $")</f>
        <v>235,02M $</v>
      </c>
      <c r="H82" s="32">
        <f>IFERROR(__xludf.DUMMYFUNCTION("""COMPUTED_VALUE"""),0.0022)</f>
        <v>0.0022</v>
      </c>
      <c r="I82" s="57" t="str">
        <f>IFERROR(__xludf.DUMMYFUNCTION("""COMPUTED_VALUE"""),"+13,95%")</f>
        <v>+13,95%</v>
      </c>
      <c r="J82" s="57" t="str">
        <f>IFERROR(__xludf.DUMMYFUNCTION("""COMPUTED_VALUE"""),"+24,60%")</f>
        <v>+24,60%</v>
      </c>
    </row>
    <row r="83">
      <c r="A83" s="57">
        <f>IFERROR(__xludf.DUMMYFUNCTION("""COMPUTED_VALUE"""),82.0)</f>
        <v>82</v>
      </c>
      <c r="B83" s="57"/>
      <c r="C83" s="57" t="str">
        <f>IFERROR(__xludf.DUMMYFUNCTION("""COMPUTED_VALUE"""),"Basic Attention Token")</f>
        <v>Basic Attention Token</v>
      </c>
      <c r="D83" s="57" t="str">
        <f>IFERROR(__xludf.DUMMYFUNCTION("""COMPUTED_VALUE"""),"BAT")</f>
        <v>BAT</v>
      </c>
      <c r="E83" s="57">
        <f>IFERROR(__xludf.DUMMYFUNCTION("""COMPUTED_VALUE"""),0.80729)</f>
        <v>0.80729</v>
      </c>
      <c r="F83" s="57" t="str">
        <f>IFERROR(__xludf.DUMMYFUNCTION("""COMPUTED_VALUE"""),"1,21B $")</f>
        <v>1,21B $</v>
      </c>
      <c r="G83" s="57" t="str">
        <f>IFERROR(__xludf.DUMMYFUNCTION("""COMPUTED_VALUE"""),"217,78M $")</f>
        <v>217,78M $</v>
      </c>
      <c r="H83" s="32">
        <f>IFERROR(__xludf.DUMMYFUNCTION("""COMPUTED_VALUE"""),0.0021)</f>
        <v>0.0021</v>
      </c>
      <c r="I83" s="57" t="str">
        <f>IFERROR(__xludf.DUMMYFUNCTION("""COMPUTED_VALUE"""),"+4,29%")</f>
        <v>+4,29%</v>
      </c>
      <c r="J83" s="57" t="str">
        <f>IFERROR(__xludf.DUMMYFUNCTION("""COMPUTED_VALUE"""),"+20,06%")</f>
        <v>+20,06%</v>
      </c>
    </row>
    <row r="84">
      <c r="A84" s="57">
        <f>IFERROR(__xludf.DUMMYFUNCTION("""COMPUTED_VALUE"""),83.0)</f>
        <v>83</v>
      </c>
      <c r="B84" s="57"/>
      <c r="C84" s="57" t="str">
        <f>IFERROR(__xludf.DUMMYFUNCTION("""COMPUTED_VALUE"""),"SafeMoon")</f>
        <v>SafeMoon</v>
      </c>
      <c r="D84" s="57" t="str">
        <f>IFERROR(__xludf.DUMMYFUNCTION("""COMPUTED_VALUE"""),"SAFEMOON")</f>
        <v>SAFEMOON</v>
      </c>
      <c r="E84" s="57">
        <f>IFERROR(__xludf.DUMMYFUNCTION("""COMPUTED_VALUE"""),0.0)</f>
        <v>0</v>
      </c>
      <c r="F84" s="57" t="str">
        <f>IFERROR(__xludf.DUMMYFUNCTION("""COMPUTED_VALUE"""),"1,11B $")</f>
        <v>1,11B $</v>
      </c>
      <c r="G84" s="57" t="str">
        <f>IFERROR(__xludf.DUMMYFUNCTION("""COMPUTED_VALUE"""),"12,94M $")</f>
        <v>12,94M $</v>
      </c>
      <c r="H84" s="32">
        <f>IFERROR(__xludf.DUMMYFUNCTION("""COMPUTED_VALUE"""),1.0E-4)</f>
        <v>0.0001</v>
      </c>
      <c r="I84" s="32">
        <f>IFERROR(__xludf.DUMMYFUNCTION("""COMPUTED_VALUE"""),-0.0248)</f>
        <v>-0.0248</v>
      </c>
      <c r="J84" s="32">
        <f>IFERROR(__xludf.DUMMYFUNCTION("""COMPUTED_VALUE"""),-0.1763)</f>
        <v>-0.1763</v>
      </c>
    </row>
    <row r="85">
      <c r="A85" s="57">
        <f>IFERROR(__xludf.DUMMYFUNCTION("""COMPUTED_VALUE"""),84.0)</f>
        <v>84</v>
      </c>
      <c r="B85" s="57"/>
      <c r="C85" s="57" t="str">
        <f>IFERROR(__xludf.DUMMYFUNCTION("""COMPUTED_VALUE"""),"Nexo")</f>
        <v>Nexo</v>
      </c>
      <c r="D85" s="57" t="str">
        <f>IFERROR(__xludf.DUMMYFUNCTION("""COMPUTED_VALUE"""),"NEXO")</f>
        <v>NEXO</v>
      </c>
      <c r="E85" s="57">
        <f>IFERROR(__xludf.DUMMYFUNCTION("""COMPUTED_VALUE"""),1.94)</f>
        <v>1.94</v>
      </c>
      <c r="F85" s="57" t="str">
        <f>IFERROR(__xludf.DUMMYFUNCTION("""COMPUTED_VALUE"""),"1,08B $")</f>
        <v>1,08B $</v>
      </c>
      <c r="G85" s="57" t="str">
        <f>IFERROR(__xludf.DUMMYFUNCTION("""COMPUTED_VALUE"""),"8,91M $")</f>
        <v>8,91M $</v>
      </c>
      <c r="H85" s="32">
        <f>IFERROR(__xludf.DUMMYFUNCTION("""COMPUTED_VALUE"""),1.0E-4)</f>
        <v>0.0001</v>
      </c>
      <c r="I85" s="32">
        <f>IFERROR(__xludf.DUMMYFUNCTION("""COMPUTED_VALUE"""),-0.0316)</f>
        <v>-0.0316</v>
      </c>
      <c r="J85" s="57" t="str">
        <f>IFERROR(__xludf.DUMMYFUNCTION("""COMPUTED_VALUE"""),"+1,17%")</f>
        <v>+1,17%</v>
      </c>
    </row>
    <row r="86">
      <c r="A86" s="57">
        <f>IFERROR(__xludf.DUMMYFUNCTION("""COMPUTED_VALUE"""),85.0)</f>
        <v>85</v>
      </c>
      <c r="B86" s="57"/>
      <c r="C86" s="57" t="str">
        <f>IFERROR(__xludf.DUMMYFUNCTION("""COMPUTED_VALUE"""),"Telcoin")</f>
        <v>Telcoin</v>
      </c>
      <c r="D86" s="57" t="str">
        <f>IFERROR(__xludf.DUMMYFUNCTION("""COMPUTED_VALUE"""),"TEL")</f>
        <v>TEL</v>
      </c>
      <c r="E86" s="57">
        <f>IFERROR(__xludf.DUMMYFUNCTION("""COMPUTED_VALUE"""),0.019804)</f>
        <v>0.019804</v>
      </c>
      <c r="F86" s="57" t="str">
        <f>IFERROR(__xludf.DUMMYFUNCTION("""COMPUTED_VALUE"""),"1,07B $")</f>
        <v>1,07B $</v>
      </c>
      <c r="G86" s="57" t="str">
        <f>IFERROR(__xludf.DUMMYFUNCTION("""COMPUTED_VALUE"""),"7,92M $")</f>
        <v>7,92M $</v>
      </c>
      <c r="H86" s="32">
        <f>IFERROR(__xludf.DUMMYFUNCTION("""COMPUTED_VALUE"""),1.0E-4)</f>
        <v>0.0001</v>
      </c>
      <c r="I86" s="32">
        <f>IFERROR(__xludf.DUMMYFUNCTION("""COMPUTED_VALUE"""),-9.0E-4)</f>
        <v>-0.0009</v>
      </c>
      <c r="J86" s="57" t="str">
        <f>IFERROR(__xludf.DUMMYFUNCTION("""COMPUTED_VALUE"""),"+18,73%")</f>
        <v>+18,73%</v>
      </c>
    </row>
    <row r="87">
      <c r="A87" s="57">
        <f>IFERROR(__xludf.DUMMYFUNCTION("""COMPUTED_VALUE"""),86.0)</f>
        <v>86</v>
      </c>
      <c r="B87" s="57"/>
      <c r="C87" s="57" t="str">
        <f>IFERROR(__xludf.DUMMYFUNCTION("""COMPUTED_VALUE"""),"Revain")</f>
        <v>Revain</v>
      </c>
      <c r="D87" s="57" t="str">
        <f>IFERROR(__xludf.DUMMYFUNCTION("""COMPUTED_VALUE"""),"REV")</f>
        <v>REV</v>
      </c>
      <c r="E87" s="57">
        <f>IFERROR(__xludf.DUMMYFUNCTION("""COMPUTED_VALUE"""),0.00998)</f>
        <v>0.00998</v>
      </c>
      <c r="F87" s="57" t="str">
        <f>IFERROR(__xludf.DUMMYFUNCTION("""COMPUTED_VALUE"""),"1,05B $")</f>
        <v>1,05B $</v>
      </c>
      <c r="G87" s="57" t="str">
        <f>IFERROR(__xludf.DUMMYFUNCTION("""COMPUTED_VALUE"""),"4,08M $")</f>
        <v>4,08M $</v>
      </c>
      <c r="H87" s="58">
        <f>IFERROR(__xludf.DUMMYFUNCTION("""COMPUTED_VALUE"""),0.0)</f>
        <v>0</v>
      </c>
      <c r="I87" s="57" t="str">
        <f>IFERROR(__xludf.DUMMYFUNCTION("""COMPUTED_VALUE"""),"+1,18%")</f>
        <v>+1,18%</v>
      </c>
      <c r="J87" s="57" t="str">
        <f>IFERROR(__xludf.DUMMYFUNCTION("""COMPUTED_VALUE"""),"+85,64%")</f>
        <v>+85,64%</v>
      </c>
    </row>
    <row r="88">
      <c r="A88" s="57">
        <f>IFERROR(__xludf.DUMMYFUNCTION("""COMPUTED_VALUE"""),87.0)</f>
        <v>87</v>
      </c>
      <c r="B88" s="57"/>
      <c r="C88" s="57" t="str">
        <f>IFERROR(__xludf.DUMMYFUNCTION("""COMPUTED_VALUE"""),"Harmony")</f>
        <v>Harmony</v>
      </c>
      <c r="D88" s="57" t="str">
        <f>IFERROR(__xludf.DUMMYFUNCTION("""COMPUTED_VALUE"""),"ONE")</f>
        <v>ONE</v>
      </c>
      <c r="E88" s="57">
        <f>IFERROR(__xludf.DUMMYFUNCTION("""COMPUTED_VALUE"""),0.1001)</f>
        <v>0.1001</v>
      </c>
      <c r="F88" s="57" t="str">
        <f>IFERROR(__xludf.DUMMYFUNCTION("""COMPUTED_VALUE"""),"1,04B $")</f>
        <v>1,04B $</v>
      </c>
      <c r="G88" s="57" t="str">
        <f>IFERROR(__xludf.DUMMYFUNCTION("""COMPUTED_VALUE"""),"39,31M $")</f>
        <v>39,31M $</v>
      </c>
      <c r="H88" s="32">
        <f>IFERROR(__xludf.DUMMYFUNCTION("""COMPUTED_VALUE"""),4.0E-4)</f>
        <v>0.0004</v>
      </c>
      <c r="I88" s="57" t="str">
        <f>IFERROR(__xludf.DUMMYFUNCTION("""COMPUTED_VALUE"""),"+2,74%")</f>
        <v>+2,74%</v>
      </c>
      <c r="J88" s="57" t="str">
        <f>IFERROR(__xludf.DUMMYFUNCTION("""COMPUTED_VALUE"""),"+21,43%")</f>
        <v>+21,43%</v>
      </c>
    </row>
    <row r="89">
      <c r="A89" s="57">
        <f>IFERROR(__xludf.DUMMYFUNCTION("""COMPUTED_VALUE"""),88.0)</f>
        <v>88</v>
      </c>
      <c r="B89" s="57"/>
      <c r="C89" s="57" t="str">
        <f>IFERROR(__xludf.DUMMYFUNCTION("""COMPUTED_VALUE"""),"DigiByte")</f>
        <v>DigiByte</v>
      </c>
      <c r="D89" s="57" t="str">
        <f>IFERROR(__xludf.DUMMYFUNCTION("""COMPUTED_VALUE"""),"DGB")</f>
        <v>DGB</v>
      </c>
      <c r="E89" s="57">
        <f>IFERROR(__xludf.DUMMYFUNCTION("""COMPUTED_VALUE"""),0.068302)</f>
        <v>0.068302</v>
      </c>
      <c r="F89" s="57" t="str">
        <f>IFERROR(__xludf.DUMMYFUNCTION("""COMPUTED_VALUE"""),"991,38M $")</f>
        <v>991,38M $</v>
      </c>
      <c r="G89" s="57" t="str">
        <f>IFERROR(__xludf.DUMMYFUNCTION("""COMPUTED_VALUE"""),"32,24M $")</f>
        <v>32,24M $</v>
      </c>
      <c r="H89" s="32">
        <f>IFERROR(__xludf.DUMMYFUNCTION("""COMPUTED_VALUE"""),3.0E-4)</f>
        <v>0.0003</v>
      </c>
      <c r="I89" s="57" t="str">
        <f>IFERROR(__xludf.DUMMYFUNCTION("""COMPUTED_VALUE"""),"+0,27%")</f>
        <v>+0,27%</v>
      </c>
      <c r="J89" s="57" t="str">
        <f>IFERROR(__xludf.DUMMYFUNCTION("""COMPUTED_VALUE"""),"+28,55%")</f>
        <v>+28,55%</v>
      </c>
    </row>
    <row r="90">
      <c r="A90" s="57">
        <f>IFERROR(__xludf.DUMMYFUNCTION("""COMPUTED_VALUE"""),89.0)</f>
        <v>89</v>
      </c>
      <c r="B90" s="57"/>
      <c r="C90" s="57" t="str">
        <f>IFERROR(__xludf.DUMMYFUNCTION("""COMPUTED_VALUE"""),"Bancor")</f>
        <v>Bancor</v>
      </c>
      <c r="D90" s="57" t="str">
        <f>IFERROR(__xludf.DUMMYFUNCTION("""COMPUTED_VALUE"""),"BNT")</f>
        <v>BNT</v>
      </c>
      <c r="E90" s="57">
        <f>IFERROR(__xludf.DUMMYFUNCTION("""COMPUTED_VALUE"""),4.18889)</f>
        <v>4.18889</v>
      </c>
      <c r="F90" s="57" t="str">
        <f>IFERROR(__xludf.DUMMYFUNCTION("""COMPUTED_VALUE"""),"968,78M $")</f>
        <v>968,78M $</v>
      </c>
      <c r="G90" s="57" t="str">
        <f>IFERROR(__xludf.DUMMYFUNCTION("""COMPUTED_VALUE"""),"37,98M $")</f>
        <v>37,98M $</v>
      </c>
      <c r="H90" s="32">
        <f>IFERROR(__xludf.DUMMYFUNCTION("""COMPUTED_VALUE"""),4.0E-4)</f>
        <v>0.0004</v>
      </c>
      <c r="I90" s="32">
        <f>IFERROR(__xludf.DUMMYFUNCTION("""COMPUTED_VALUE"""),-9.0E-4)</f>
        <v>-0.0009</v>
      </c>
      <c r="J90" s="57" t="str">
        <f>IFERROR(__xludf.DUMMYFUNCTION("""COMPUTED_VALUE"""),"+9,96%")</f>
        <v>+9,96%</v>
      </c>
    </row>
    <row r="91">
      <c r="A91" s="57">
        <f>IFERROR(__xludf.DUMMYFUNCTION("""COMPUTED_VALUE"""),90.0)</f>
        <v>90</v>
      </c>
      <c r="B91" s="57"/>
      <c r="C91" s="57" t="str">
        <f>IFERROR(__xludf.DUMMYFUNCTION("""COMPUTED_VALUE"""),"eCash")</f>
        <v>eCash</v>
      </c>
      <c r="D91" s="57" t="str">
        <f>IFERROR(__xludf.DUMMYFUNCTION("""COMPUTED_VALUE"""),"XEC")</f>
        <v>XEC</v>
      </c>
      <c r="E91" s="57">
        <f>IFERROR(__xludf.DUMMYFUNCTION("""COMPUTED_VALUE"""),5.104E-5)</f>
        <v>0.00005104</v>
      </c>
      <c r="F91" s="57" t="str">
        <f>IFERROR(__xludf.DUMMYFUNCTION("""COMPUTED_VALUE"""),"960,26M $")</f>
        <v>960,26M $</v>
      </c>
      <c r="G91" s="57" t="str">
        <f>IFERROR(__xludf.DUMMYFUNCTION("""COMPUTED_VALUE"""),"8,88M $")</f>
        <v>8,88M $</v>
      </c>
      <c r="H91" s="32">
        <f>IFERROR(__xludf.DUMMYFUNCTION("""COMPUTED_VALUE"""),1.0E-4)</f>
        <v>0.0001</v>
      </c>
      <c r="I91" s="57" t="str">
        <f>IFERROR(__xludf.DUMMYFUNCTION("""COMPUTED_VALUE"""),"+1,20%")</f>
        <v>+1,20%</v>
      </c>
      <c r="J91" s="32">
        <f>IFERROR(__xludf.DUMMYFUNCTION("""COMPUTED_VALUE"""),-0.0255)</f>
        <v>-0.0255</v>
      </c>
    </row>
    <row r="92">
      <c r="A92" s="57">
        <f>IFERROR(__xludf.DUMMYFUNCTION("""COMPUTED_VALUE"""),91.0)</f>
        <v>91</v>
      </c>
      <c r="B92" s="57"/>
      <c r="C92" s="57" t="str">
        <f>IFERROR(__xludf.DUMMYFUNCTION("""COMPUTED_VALUE"""),"Ontology")</f>
        <v>Ontology</v>
      </c>
      <c r="D92" s="57" t="str">
        <f>IFERROR(__xludf.DUMMYFUNCTION("""COMPUTED_VALUE"""),"ONT")</f>
        <v>ONT</v>
      </c>
      <c r="E92" s="57">
        <f>IFERROR(__xludf.DUMMYFUNCTION("""COMPUTED_VALUE"""),1.0804)</f>
        <v>1.0804</v>
      </c>
      <c r="F92" s="57" t="str">
        <f>IFERROR(__xludf.DUMMYFUNCTION("""COMPUTED_VALUE"""),"946,80M $")</f>
        <v>946,80M $</v>
      </c>
      <c r="G92" s="57" t="str">
        <f>IFERROR(__xludf.DUMMYFUNCTION("""COMPUTED_VALUE"""),"146,07M $")</f>
        <v>146,07M $</v>
      </c>
      <c r="H92" s="32">
        <f>IFERROR(__xludf.DUMMYFUNCTION("""COMPUTED_VALUE"""),0.0014)</f>
        <v>0.0014</v>
      </c>
      <c r="I92" s="57" t="str">
        <f>IFERROR(__xludf.DUMMYFUNCTION("""COMPUTED_VALUE"""),"+0,43%")</f>
        <v>+0,43%</v>
      </c>
      <c r="J92" s="57" t="str">
        <f>IFERROR(__xludf.DUMMYFUNCTION("""COMPUTED_VALUE"""),"+25,39%")</f>
        <v>+25,39%</v>
      </c>
    </row>
    <row r="93">
      <c r="A93" s="57">
        <f>IFERROR(__xludf.DUMMYFUNCTION("""COMPUTED_VALUE"""),92.0)</f>
        <v>92</v>
      </c>
      <c r="B93" s="57"/>
      <c r="C93" s="57" t="str">
        <f>IFERROR(__xludf.DUMMYFUNCTION("""COMPUTED_VALUE"""),"Paxos Standard")</f>
        <v>Paxos Standard</v>
      </c>
      <c r="D93" s="57" t="str">
        <f>IFERROR(__xludf.DUMMYFUNCTION("""COMPUTED_VALUE"""),"PAX")</f>
        <v>PAX</v>
      </c>
      <c r="E93" s="57">
        <f>IFERROR(__xludf.DUMMYFUNCTION("""COMPUTED_VALUE"""),0.9983)</f>
        <v>0.9983</v>
      </c>
      <c r="F93" s="57" t="str">
        <f>IFERROR(__xludf.DUMMYFUNCTION("""COMPUTED_VALUE"""),"942,68M $")</f>
        <v>942,68M $</v>
      </c>
      <c r="G93" s="57" t="str">
        <f>IFERROR(__xludf.DUMMYFUNCTION("""COMPUTED_VALUE"""),"82,35M $")</f>
        <v>82,35M $</v>
      </c>
      <c r="H93" s="32">
        <f>IFERROR(__xludf.DUMMYFUNCTION("""COMPUTED_VALUE"""),8.0E-4)</f>
        <v>0.0008</v>
      </c>
      <c r="I93" s="32">
        <f>IFERROR(__xludf.DUMMYFUNCTION("""COMPUTED_VALUE"""),-9.0E-4)</f>
        <v>-0.0009</v>
      </c>
      <c r="J93" s="57" t="str">
        <f>IFERROR(__xludf.DUMMYFUNCTION("""COMPUTED_VALUE"""),"+0,07%")</f>
        <v>+0,07%</v>
      </c>
    </row>
    <row r="94">
      <c r="A94" s="57">
        <f>IFERROR(__xludf.DUMMYFUNCTION("""COMPUTED_VALUE"""),93.0)</f>
        <v>93</v>
      </c>
      <c r="B94" s="57"/>
      <c r="C94" s="57" t="str">
        <f>IFERROR(__xludf.DUMMYFUNCTION("""COMPUTED_VALUE"""),"Siacoin")</f>
        <v>Siacoin</v>
      </c>
      <c r="D94" s="57" t="str">
        <f>IFERROR(__xludf.DUMMYFUNCTION("""COMPUTED_VALUE"""),"SC")</f>
        <v>SC</v>
      </c>
      <c r="E94" s="57">
        <f>IFERROR(__xludf.DUMMYFUNCTION("""COMPUTED_VALUE"""),0.019277)</f>
        <v>0.019277</v>
      </c>
      <c r="F94" s="57" t="str">
        <f>IFERROR(__xludf.DUMMYFUNCTION("""COMPUTED_VALUE"""),"929,36M $")</f>
        <v>929,36M $</v>
      </c>
      <c r="G94" s="57" t="str">
        <f>IFERROR(__xludf.DUMMYFUNCTION("""COMPUTED_VALUE"""),"60,03M $")</f>
        <v>60,03M $</v>
      </c>
      <c r="H94" s="32">
        <f>IFERROR(__xludf.DUMMYFUNCTION("""COMPUTED_VALUE"""),6.0E-4)</f>
        <v>0.0006</v>
      </c>
      <c r="I94" s="57" t="str">
        <f>IFERROR(__xludf.DUMMYFUNCTION("""COMPUTED_VALUE"""),"+2,09%")</f>
        <v>+2,09%</v>
      </c>
      <c r="J94" s="57" t="str">
        <f>IFERROR(__xludf.DUMMYFUNCTION("""COMPUTED_VALUE"""),"+18,01%")</f>
        <v>+18,01%</v>
      </c>
    </row>
    <row r="95">
      <c r="A95" s="57">
        <f>IFERROR(__xludf.DUMMYFUNCTION("""COMPUTED_VALUE"""),94.0)</f>
        <v>94</v>
      </c>
      <c r="B95" s="57"/>
      <c r="C95" s="57" t="str">
        <f>IFERROR(__xludf.DUMMYFUNCTION("""COMPUTED_VALUE"""),"Voyager Token")</f>
        <v>Voyager Token</v>
      </c>
      <c r="D95" s="57" t="str">
        <f>IFERROR(__xludf.DUMMYFUNCTION("""COMPUTED_VALUE"""),"VGX")</f>
        <v>VGX</v>
      </c>
      <c r="E95" s="57">
        <f>IFERROR(__xludf.DUMMYFUNCTION("""COMPUTED_VALUE"""),4.1363)</f>
        <v>4.1363</v>
      </c>
      <c r="F95" s="57" t="str">
        <f>IFERROR(__xludf.DUMMYFUNCTION("""COMPUTED_VALUE"""),"917,21M $")</f>
        <v>917,21M $</v>
      </c>
      <c r="G95" s="57" t="str">
        <f>IFERROR(__xludf.DUMMYFUNCTION("""COMPUTED_VALUE"""),"4,20M $")</f>
        <v>4,20M $</v>
      </c>
      <c r="H95" s="58">
        <f>IFERROR(__xludf.DUMMYFUNCTION("""COMPUTED_VALUE"""),0.0)</f>
        <v>0</v>
      </c>
      <c r="I95" s="57" t="str">
        <f>IFERROR(__xludf.DUMMYFUNCTION("""COMPUTED_VALUE"""),"+2,22%")</f>
        <v>+2,22%</v>
      </c>
      <c r="J95" s="57" t="str">
        <f>IFERROR(__xludf.DUMMYFUNCTION("""COMPUTED_VALUE"""),"+20,92%")</f>
        <v>+20,92%</v>
      </c>
    </row>
    <row r="96">
      <c r="A96" s="57">
        <f>IFERROR(__xludf.DUMMYFUNCTION("""COMPUTED_VALUE"""),95.0)</f>
        <v>95</v>
      </c>
      <c r="B96" s="57"/>
      <c r="C96" s="57" t="str">
        <f>IFERROR(__xludf.DUMMYFUNCTION("""COMPUTED_VALUE"""),"KuCoin Token")</f>
        <v>KuCoin Token</v>
      </c>
      <c r="D96" s="57" t="str">
        <f>IFERROR(__xludf.DUMMYFUNCTION("""COMPUTED_VALUE"""),"KCS")</f>
        <v>KCS</v>
      </c>
      <c r="E96" s="57">
        <f>IFERROR(__xludf.DUMMYFUNCTION("""COMPUTED_VALUE"""),11.479)</f>
        <v>11.479</v>
      </c>
      <c r="F96" s="57" t="str">
        <f>IFERROR(__xludf.DUMMYFUNCTION("""COMPUTED_VALUE"""),"912,02M $")</f>
        <v>912,02M $</v>
      </c>
      <c r="G96" s="57" t="str">
        <f>IFERROR(__xludf.DUMMYFUNCTION("""COMPUTED_VALUE"""),"14,60M $")</f>
        <v>14,60M $</v>
      </c>
      <c r="H96" s="32">
        <f>IFERROR(__xludf.DUMMYFUNCTION("""COMPUTED_VALUE"""),1.0E-4)</f>
        <v>0.0001</v>
      </c>
      <c r="I96" s="32">
        <f>IFERROR(__xludf.DUMMYFUNCTION("""COMPUTED_VALUE"""),-0.027)</f>
        <v>-0.027</v>
      </c>
      <c r="J96" s="57" t="str">
        <f>IFERROR(__xludf.DUMMYFUNCTION("""COMPUTED_VALUE"""),"+9,48%")</f>
        <v>+9,48%</v>
      </c>
    </row>
    <row r="97">
      <c r="A97" s="57">
        <f>IFERROR(__xludf.DUMMYFUNCTION("""COMPUTED_VALUE"""),96.0)</f>
        <v>96</v>
      </c>
      <c r="B97" s="57"/>
      <c r="C97" s="57" t="str">
        <f>IFERROR(__xludf.DUMMYFUNCTION("""COMPUTED_VALUE"""),"0x")</f>
        <v>0x</v>
      </c>
      <c r="D97" s="57" t="str">
        <f>IFERROR(__xludf.DUMMYFUNCTION("""COMPUTED_VALUE"""),"ZRX")</f>
        <v>ZRX</v>
      </c>
      <c r="E97" s="57">
        <f>IFERROR(__xludf.DUMMYFUNCTION("""COMPUTED_VALUE"""),1.05344)</f>
        <v>1.05344</v>
      </c>
      <c r="F97" s="57" t="str">
        <f>IFERROR(__xludf.DUMMYFUNCTION("""COMPUTED_VALUE"""),"888,87M $")</f>
        <v>888,87M $</v>
      </c>
      <c r="G97" s="57" t="str">
        <f>IFERROR(__xludf.DUMMYFUNCTION("""COMPUTED_VALUE"""),"84,32M $")</f>
        <v>84,32M $</v>
      </c>
      <c r="H97" s="32">
        <f>IFERROR(__xludf.DUMMYFUNCTION("""COMPUTED_VALUE"""),8.0E-4)</f>
        <v>0.0008</v>
      </c>
      <c r="I97" s="57" t="str">
        <f>IFERROR(__xludf.DUMMYFUNCTION("""COMPUTED_VALUE"""),"+0,96%")</f>
        <v>+0,96%</v>
      </c>
      <c r="J97" s="57" t="str">
        <f>IFERROR(__xludf.DUMMYFUNCTION("""COMPUTED_VALUE"""),"+13,26%")</f>
        <v>+13,26%</v>
      </c>
    </row>
    <row r="98">
      <c r="A98" s="57">
        <f>IFERROR(__xludf.DUMMYFUNCTION("""COMPUTED_VALUE"""),97.0)</f>
        <v>97</v>
      </c>
      <c r="B98" s="57"/>
      <c r="C98" s="57" t="str">
        <f>IFERROR(__xludf.DUMMYFUNCTION("""COMPUTED_VALUE"""),"Celo")</f>
        <v>Celo</v>
      </c>
      <c r="D98" s="57" t="str">
        <f>IFERROR(__xludf.DUMMYFUNCTION("""COMPUTED_VALUE"""),"CELO")</f>
        <v>CELO</v>
      </c>
      <c r="E98" s="57">
        <f>IFERROR(__xludf.DUMMYFUNCTION("""COMPUTED_VALUE"""),3.1037)</f>
        <v>3.1037</v>
      </c>
      <c r="F98" s="57" t="str">
        <f>IFERROR(__xludf.DUMMYFUNCTION("""COMPUTED_VALUE"""),"887,32M $")</f>
        <v>887,32M $</v>
      </c>
      <c r="G98" s="57" t="str">
        <f>IFERROR(__xludf.DUMMYFUNCTION("""COMPUTED_VALUE"""),"19,13M $")</f>
        <v>19,13M $</v>
      </c>
      <c r="H98" s="32">
        <f>IFERROR(__xludf.DUMMYFUNCTION("""COMPUTED_VALUE"""),2.0E-4)</f>
        <v>0.0002</v>
      </c>
      <c r="I98" s="57" t="str">
        <f>IFERROR(__xludf.DUMMYFUNCTION("""COMPUTED_VALUE"""),"+0,22%")</f>
        <v>+0,22%</v>
      </c>
      <c r="J98" s="57" t="str">
        <f>IFERROR(__xludf.DUMMYFUNCTION("""COMPUTED_VALUE"""),"+9,78%")</f>
        <v>+9,78%</v>
      </c>
    </row>
    <row r="99">
      <c r="A99" s="57">
        <f>IFERROR(__xludf.DUMMYFUNCTION("""COMPUTED_VALUE"""),98.0)</f>
        <v>98</v>
      </c>
      <c r="B99" s="57"/>
      <c r="C99" s="57" t="str">
        <f>IFERROR(__xludf.DUMMYFUNCTION("""COMPUTED_VALUE"""),"Fantom")</f>
        <v>Fantom</v>
      </c>
      <c r="D99" s="57" t="str">
        <f>IFERROR(__xludf.DUMMYFUNCTION("""COMPUTED_VALUE"""),"FTM")</f>
        <v>FTM</v>
      </c>
      <c r="E99" s="57">
        <f>IFERROR(__xludf.DUMMYFUNCTION("""COMPUTED_VALUE"""),0.344072)</f>
        <v>0.344072</v>
      </c>
      <c r="F99" s="57" t="str">
        <f>IFERROR(__xludf.DUMMYFUNCTION("""COMPUTED_VALUE"""),"868,18M $")</f>
        <v>868,18M $</v>
      </c>
      <c r="G99" s="57" t="str">
        <f>IFERROR(__xludf.DUMMYFUNCTION("""COMPUTED_VALUE"""),"44,34M $")</f>
        <v>44,34M $</v>
      </c>
      <c r="H99" s="32">
        <f>IFERROR(__xludf.DUMMYFUNCTION("""COMPUTED_VALUE"""),4.0E-4)</f>
        <v>0.0004</v>
      </c>
      <c r="I99" s="57" t="str">
        <f>IFERROR(__xludf.DUMMYFUNCTION("""COMPUTED_VALUE"""),"+3,95%")</f>
        <v>+3,95%</v>
      </c>
      <c r="J99" s="57" t="str">
        <f>IFERROR(__xludf.DUMMYFUNCTION("""COMPUTED_VALUE"""),"+28,48%")</f>
        <v>+28,48%</v>
      </c>
    </row>
    <row r="100">
      <c r="A100" s="57">
        <f>IFERROR(__xludf.DUMMYFUNCTION("""COMPUTED_VALUE"""),99.0)</f>
        <v>99</v>
      </c>
      <c r="B100" s="57"/>
      <c r="C100" s="57" t="str">
        <f>IFERROR(__xludf.DUMMYFUNCTION("""COMPUTED_VALUE"""),"Curve DAO Token")</f>
        <v>Curve DAO Token</v>
      </c>
      <c r="D100" s="57" t="str">
        <f>IFERROR(__xludf.DUMMYFUNCTION("""COMPUTED_VALUE"""),"CRV")</f>
        <v>CRV</v>
      </c>
      <c r="E100" s="57">
        <f>IFERROR(__xludf.DUMMYFUNCTION("""COMPUTED_VALUE"""),2.1852)</f>
        <v>2.1852</v>
      </c>
      <c r="F100" s="57" t="str">
        <f>IFERROR(__xludf.DUMMYFUNCTION("""COMPUTED_VALUE"""),"859,05M $")</f>
        <v>859,05M $</v>
      </c>
      <c r="G100" s="57" t="str">
        <f>IFERROR(__xludf.DUMMYFUNCTION("""COMPUTED_VALUE"""),"184,37M $")</f>
        <v>184,37M $</v>
      </c>
      <c r="H100" s="32">
        <f>IFERROR(__xludf.DUMMYFUNCTION("""COMPUTED_VALUE"""),0.0017)</f>
        <v>0.0017</v>
      </c>
      <c r="I100" s="32">
        <f>IFERROR(__xludf.DUMMYFUNCTION("""COMPUTED_VALUE"""),-0.0071)</f>
        <v>-0.0071</v>
      </c>
      <c r="J100" s="57" t="str">
        <f>IFERROR(__xludf.DUMMYFUNCTION("""COMPUTED_VALUE"""),"+24,33%")</f>
        <v>+24,33%</v>
      </c>
    </row>
    <row r="101">
      <c r="A101" s="57">
        <f>IFERROR(__xludf.DUMMYFUNCTION("""COMPUTED_VALUE"""),100.0)</f>
        <v>100</v>
      </c>
      <c r="B101" s="57"/>
      <c r="C101" s="57" t="str">
        <f>IFERROR(__xludf.DUMMYFUNCTION("""COMPUTED_VALUE"""),"Nano")</f>
        <v>Nano</v>
      </c>
      <c r="D101" s="57" t="str">
        <f>IFERROR(__xludf.DUMMYFUNCTION("""COMPUTED_VALUE"""),"NANO")</f>
        <v>NANO</v>
      </c>
      <c r="E101" s="57">
        <f>IFERROR(__xludf.DUMMYFUNCTION("""COMPUTED_VALUE"""),6.4112)</f>
        <v>6.4112</v>
      </c>
      <c r="F101" s="57" t="str">
        <f>IFERROR(__xludf.DUMMYFUNCTION("""COMPUTED_VALUE"""),"834,88M $")</f>
        <v>834,88M $</v>
      </c>
      <c r="G101" s="57" t="str">
        <f>IFERROR(__xludf.DUMMYFUNCTION("""COMPUTED_VALUE"""),"24,51M $")</f>
        <v>24,51M $</v>
      </c>
      <c r="H101" s="32">
        <f>IFERROR(__xludf.DUMMYFUNCTION("""COMPUTED_VALUE"""),2.0E-4)</f>
        <v>0.0002</v>
      </c>
      <c r="I101" s="57" t="str">
        <f>IFERROR(__xludf.DUMMYFUNCTION("""COMPUTED_VALUE"""),"+0,64%")</f>
        <v>+0,64%</v>
      </c>
      <c r="J101" s="57" t="str">
        <f>IFERROR(__xludf.DUMMYFUNCTION("""COMPUTED_VALUE"""),"+27,42%")</f>
        <v>+27,42%</v>
      </c>
    </row>
    <row r="121">
      <c r="B121" s="57" t="str">
        <f>IFERROR(__xludf.DUMMYFUNCTION("importhtml(""https://fr.investing.com/indices/japan-ni225-components"",""table"",0)"),"")</f>
        <v/>
      </c>
      <c r="C121" s="57" t="str">
        <f>IFERROR(__xludf.DUMMYFUNCTION("""COMPUTED_VALUE"""),"Nom")</f>
        <v>Nom</v>
      </c>
      <c r="D121" s="57" t="str">
        <f>IFERROR(__xludf.DUMMYFUNCTION("""COMPUTED_VALUE"""),"Dernier")</f>
        <v>Dernier</v>
      </c>
      <c r="E121" s="57" t="str">
        <f>IFERROR(__xludf.DUMMYFUNCTION("""COMPUTED_VALUE"""),"+ Haut")</f>
        <v>+ Haut</v>
      </c>
      <c r="F121" s="57" t="str">
        <f>IFERROR(__xludf.DUMMYFUNCTION("""COMPUTED_VALUE"""),"+ Bas")</f>
        <v>+ Bas</v>
      </c>
      <c r="G121" s="57" t="str">
        <f>IFERROR(__xludf.DUMMYFUNCTION("""COMPUTED_VALUE"""),"Var.")</f>
        <v>Var.</v>
      </c>
      <c r="H121" s="57" t="str">
        <f>IFERROR(__xludf.DUMMYFUNCTION("""COMPUTED_VALUE"""),"Var. %")</f>
        <v>Var. %</v>
      </c>
      <c r="I121" s="57" t="str">
        <f>IFERROR(__xludf.DUMMYFUNCTION("""COMPUTED_VALUE"""),"Vol.")</f>
        <v>Vol.</v>
      </c>
      <c r="J121" s="57" t="str">
        <f>IFERROR(__xludf.DUMMYFUNCTION("""COMPUTED_VALUE"""),"Heures")</f>
        <v>Heures</v>
      </c>
      <c r="K121" s="57"/>
    </row>
    <row r="122">
      <c r="B122" s="57"/>
      <c r="C122" s="57" t="str">
        <f>IFERROR(__xludf.DUMMYFUNCTION("""COMPUTED_VALUE"""),"Advantest Corp.")</f>
        <v>Advantest Corp.</v>
      </c>
      <c r="D122" s="57" t="str">
        <f>IFERROR(__xludf.DUMMYFUNCTION("""COMPUTED_VALUE"""),"9.270,0")</f>
        <v>9.270,0</v>
      </c>
      <c r="E122" s="57" t="str">
        <f>IFERROR(__xludf.DUMMYFUNCTION("""COMPUTED_VALUE"""),"9.640,0")</f>
        <v>9.640,0</v>
      </c>
      <c r="F122" s="57" t="str">
        <f>IFERROR(__xludf.DUMMYFUNCTION("""COMPUTED_VALUE"""),"9.270,0")</f>
        <v>9.270,0</v>
      </c>
      <c r="G122" s="57">
        <f>IFERROR(__xludf.DUMMYFUNCTION("""COMPUTED_VALUE"""),-460.0)</f>
        <v>-460</v>
      </c>
      <c r="H122" s="32">
        <f>IFERROR(__xludf.DUMMYFUNCTION("""COMPUTED_VALUE"""),-0.0473)</f>
        <v>-0.0473</v>
      </c>
      <c r="I122" s="57" t="str">
        <f>IFERROR(__xludf.DUMMYFUNCTION("""COMPUTED_VALUE"""),"3,36M")</f>
        <v>3,36M</v>
      </c>
      <c r="J122" s="59">
        <f>IFERROR(__xludf.DUMMYFUNCTION("""COMPUTED_VALUE"""),44421.0)</f>
        <v>44421</v>
      </c>
      <c r="K122" s="57"/>
    </row>
    <row r="123">
      <c r="B123" s="57"/>
      <c r="C123" s="57" t="str">
        <f>IFERROR(__xludf.DUMMYFUNCTION("""COMPUTED_VALUE"""),"Aeon")</f>
        <v>Aeon</v>
      </c>
      <c r="D123" s="57" t="str">
        <f>IFERROR(__xludf.DUMMYFUNCTION("""COMPUTED_VALUE"""),"3.062,0")</f>
        <v>3.062,0</v>
      </c>
      <c r="E123" s="57" t="str">
        <f>IFERROR(__xludf.DUMMYFUNCTION("""COMPUTED_VALUE"""),"3.068,0")</f>
        <v>3.068,0</v>
      </c>
      <c r="F123" s="57" t="str">
        <f>IFERROR(__xludf.DUMMYFUNCTION("""COMPUTED_VALUE"""),"3.013,0")</f>
        <v>3.013,0</v>
      </c>
      <c r="G123" s="57" t="str">
        <f>IFERROR(__xludf.DUMMYFUNCTION("""COMPUTED_VALUE"""),"+2,0")</f>
        <v>+2,0</v>
      </c>
      <c r="H123" s="57" t="str">
        <f>IFERROR(__xludf.DUMMYFUNCTION("""COMPUTED_VALUE"""),"+0,07%")</f>
        <v>+0,07%</v>
      </c>
      <c r="I123" s="57" t="str">
        <f>IFERROR(__xludf.DUMMYFUNCTION("""COMPUTED_VALUE"""),"1,73M")</f>
        <v>1,73M</v>
      </c>
      <c r="J123" s="59">
        <f>IFERROR(__xludf.DUMMYFUNCTION("""COMPUTED_VALUE"""),44421.0)</f>
        <v>44421</v>
      </c>
      <c r="K123" s="57"/>
    </row>
    <row r="124">
      <c r="B124" s="57"/>
      <c r="C124" s="57" t="str">
        <f>IFERROR(__xludf.DUMMYFUNCTION("""COMPUTED_VALUE"""),"AGC")</f>
        <v>AGC</v>
      </c>
      <c r="D124" s="57" t="str">
        <f>IFERROR(__xludf.DUMMYFUNCTION("""COMPUTED_VALUE"""),"4.940,0")</f>
        <v>4.940,0</v>
      </c>
      <c r="E124" s="57" t="str">
        <f>IFERROR(__xludf.DUMMYFUNCTION("""COMPUTED_VALUE"""),"5.010,0")</f>
        <v>5.010,0</v>
      </c>
      <c r="F124" s="57" t="str">
        <f>IFERROR(__xludf.DUMMYFUNCTION("""COMPUTED_VALUE"""),"4.930,0")</f>
        <v>4.930,0</v>
      </c>
      <c r="G124" s="57">
        <f>IFERROR(__xludf.DUMMYFUNCTION("""COMPUTED_VALUE"""),-50.0)</f>
        <v>-50</v>
      </c>
      <c r="H124" s="32">
        <f>IFERROR(__xludf.DUMMYFUNCTION("""COMPUTED_VALUE"""),-0.01)</f>
        <v>-0.01</v>
      </c>
      <c r="I124" s="57" t="str">
        <f>IFERROR(__xludf.DUMMYFUNCTION("""COMPUTED_VALUE"""),"714,70K")</f>
        <v>714,70K</v>
      </c>
      <c r="J124" s="59">
        <f>IFERROR(__xludf.DUMMYFUNCTION("""COMPUTED_VALUE"""),44421.0)</f>
        <v>44421</v>
      </c>
      <c r="K124" s="57"/>
    </row>
    <row r="125">
      <c r="B125" s="57"/>
      <c r="C125" s="57" t="str">
        <f>IFERROR(__xludf.DUMMYFUNCTION("""COMPUTED_VALUE"""),"Ajinomoto Co., Inc.")</f>
        <v>Ajinomoto Co., Inc.</v>
      </c>
      <c r="D125" s="57" t="str">
        <f>IFERROR(__xludf.DUMMYFUNCTION("""COMPUTED_VALUE"""),"3.015,0")</f>
        <v>3.015,0</v>
      </c>
      <c r="E125" s="57" t="str">
        <f>IFERROR(__xludf.DUMMYFUNCTION("""COMPUTED_VALUE"""),"3.047,0")</f>
        <v>3.047,0</v>
      </c>
      <c r="F125" s="57" t="str">
        <f>IFERROR(__xludf.DUMMYFUNCTION("""COMPUTED_VALUE"""),"3.014,0")</f>
        <v>3.014,0</v>
      </c>
      <c r="G125" s="57">
        <f>IFERROR(__xludf.DUMMYFUNCTION("""COMPUTED_VALUE"""),-2.0)</f>
        <v>-2</v>
      </c>
      <c r="H125" s="32">
        <f>IFERROR(__xludf.DUMMYFUNCTION("""COMPUTED_VALUE"""),-7.0E-4)</f>
        <v>-0.0007</v>
      </c>
      <c r="I125" s="57" t="str">
        <f>IFERROR(__xludf.DUMMYFUNCTION("""COMPUTED_VALUE"""),"1,11M")</f>
        <v>1,11M</v>
      </c>
      <c r="J125" s="59">
        <f>IFERROR(__xludf.DUMMYFUNCTION("""COMPUTED_VALUE"""),44421.0)</f>
        <v>44421</v>
      </c>
      <c r="K125" s="57"/>
    </row>
    <row r="126">
      <c r="B126" s="57"/>
      <c r="C126" s="57" t="str">
        <f>IFERROR(__xludf.DUMMYFUNCTION("""COMPUTED_VALUE"""),"Alps Electric")</f>
        <v>Alps Electric</v>
      </c>
      <c r="D126" s="57" t="str">
        <f>IFERROR(__xludf.DUMMYFUNCTION("""COMPUTED_VALUE"""),"1.128,0")</f>
        <v>1.128,0</v>
      </c>
      <c r="E126" s="57" t="str">
        <f>IFERROR(__xludf.DUMMYFUNCTION("""COMPUTED_VALUE"""),"1.147,0")</f>
        <v>1.147,0</v>
      </c>
      <c r="F126" s="57" t="str">
        <f>IFERROR(__xludf.DUMMYFUNCTION("""COMPUTED_VALUE"""),"1.125,0")</f>
        <v>1.125,0</v>
      </c>
      <c r="G126" s="57">
        <f>IFERROR(__xludf.DUMMYFUNCTION("""COMPUTED_VALUE"""),-12.0)</f>
        <v>-12</v>
      </c>
      <c r="H126" s="32">
        <f>IFERROR(__xludf.DUMMYFUNCTION("""COMPUTED_VALUE"""),-0.0105)</f>
        <v>-0.0105</v>
      </c>
      <c r="I126" s="57" t="str">
        <f>IFERROR(__xludf.DUMMYFUNCTION("""COMPUTED_VALUE"""),"1,58M")</f>
        <v>1,58M</v>
      </c>
      <c r="J126" s="59">
        <f>IFERROR(__xludf.DUMMYFUNCTION("""COMPUTED_VALUE"""),44421.0)</f>
        <v>44421</v>
      </c>
      <c r="K126" s="57"/>
    </row>
    <row r="127">
      <c r="B127" s="57"/>
      <c r="C127" s="57" t="str">
        <f>IFERROR(__xludf.DUMMYFUNCTION("""COMPUTED_VALUE"""),"Amada")</f>
        <v>Amada</v>
      </c>
      <c r="D127" s="57" t="str">
        <f>IFERROR(__xludf.DUMMYFUNCTION("""COMPUTED_VALUE"""),"1.148,0")</f>
        <v>1.148,0</v>
      </c>
      <c r="E127" s="57" t="str">
        <f>IFERROR(__xludf.DUMMYFUNCTION("""COMPUTED_VALUE"""),"1.168,0")</f>
        <v>1.168,0</v>
      </c>
      <c r="F127" s="57" t="str">
        <f>IFERROR(__xludf.DUMMYFUNCTION("""COMPUTED_VALUE"""),"1.142,0")</f>
        <v>1.142,0</v>
      </c>
      <c r="G127" s="57">
        <f>IFERROR(__xludf.DUMMYFUNCTION("""COMPUTED_VALUE"""),-9.0)</f>
        <v>-9</v>
      </c>
      <c r="H127" s="32">
        <f>IFERROR(__xludf.DUMMYFUNCTION("""COMPUTED_VALUE"""),-0.0078)</f>
        <v>-0.0078</v>
      </c>
      <c r="I127" s="57" t="str">
        <f>IFERROR(__xludf.DUMMYFUNCTION("""COMPUTED_VALUE"""),"1,14M")</f>
        <v>1,14M</v>
      </c>
      <c r="J127" s="59">
        <f>IFERROR(__xludf.DUMMYFUNCTION("""COMPUTED_VALUE"""),44421.0)</f>
        <v>44421</v>
      </c>
      <c r="K127" s="57"/>
    </row>
    <row r="128">
      <c r="B128" s="57"/>
      <c r="C128" s="57" t="str">
        <f>IFERROR(__xludf.DUMMYFUNCTION("""COMPUTED_VALUE"""),"ANA Holdings")</f>
        <v>ANA Holdings</v>
      </c>
      <c r="D128" s="57" t="str">
        <f>IFERROR(__xludf.DUMMYFUNCTION("""COMPUTED_VALUE"""),"2.575,5")</f>
        <v>2.575,5</v>
      </c>
      <c r="E128" s="57" t="str">
        <f>IFERROR(__xludf.DUMMYFUNCTION("""COMPUTED_VALUE"""),"2.602,0")</f>
        <v>2.602,0</v>
      </c>
      <c r="F128" s="57" t="str">
        <f>IFERROR(__xludf.DUMMYFUNCTION("""COMPUTED_VALUE"""),"2.556,0")</f>
        <v>2.556,0</v>
      </c>
      <c r="G128" s="57">
        <f>IFERROR(__xludf.DUMMYFUNCTION("""COMPUTED_VALUE"""),-44.5)</f>
        <v>-44.5</v>
      </c>
      <c r="H128" s="32">
        <f>IFERROR(__xludf.DUMMYFUNCTION("""COMPUTED_VALUE"""),-0.017)</f>
        <v>-0.017</v>
      </c>
      <c r="I128" s="57" t="str">
        <f>IFERROR(__xludf.DUMMYFUNCTION("""COMPUTED_VALUE"""),"2,65M")</f>
        <v>2,65M</v>
      </c>
      <c r="J128" s="59">
        <f>IFERROR(__xludf.DUMMYFUNCTION("""COMPUTED_VALUE"""),44421.0)</f>
        <v>44421</v>
      </c>
      <c r="K128" s="57"/>
    </row>
    <row r="129">
      <c r="B129" s="57"/>
      <c r="C129" s="57" t="str">
        <f>IFERROR(__xludf.DUMMYFUNCTION("""COMPUTED_VALUE"""),"Aozora Bank")</f>
        <v>Aozora Bank</v>
      </c>
      <c r="D129" s="57" t="str">
        <f>IFERROR(__xludf.DUMMYFUNCTION("""COMPUTED_VALUE"""),"2.644,0")</f>
        <v>2.644,0</v>
      </c>
      <c r="E129" s="57" t="str">
        <f>IFERROR(__xludf.DUMMYFUNCTION("""COMPUTED_VALUE"""),"2.655,0")</f>
        <v>2.655,0</v>
      </c>
      <c r="F129" s="57" t="str">
        <f>IFERROR(__xludf.DUMMYFUNCTION("""COMPUTED_VALUE"""),"2.631,0")</f>
        <v>2.631,0</v>
      </c>
      <c r="G129" s="57" t="str">
        <f>IFERROR(__xludf.DUMMYFUNCTION("""COMPUTED_VALUE"""),"+4,0")</f>
        <v>+4,0</v>
      </c>
      <c r="H129" s="57" t="str">
        <f>IFERROR(__xludf.DUMMYFUNCTION("""COMPUTED_VALUE"""),"+0,15%")</f>
        <v>+0,15%</v>
      </c>
      <c r="I129" s="57" t="str">
        <f>IFERROR(__xludf.DUMMYFUNCTION("""COMPUTED_VALUE"""),"390,10K")</f>
        <v>390,10K</v>
      </c>
      <c r="J129" s="59">
        <f>IFERROR(__xludf.DUMMYFUNCTION("""COMPUTED_VALUE"""),44421.0)</f>
        <v>44421</v>
      </c>
      <c r="K129" s="57"/>
    </row>
    <row r="130">
      <c r="B130" s="57"/>
      <c r="C130" s="57" t="str">
        <f>IFERROR(__xludf.DUMMYFUNCTION("""COMPUTED_VALUE"""),"Asahi Group Holdings")</f>
        <v>Asahi Group Holdings</v>
      </c>
      <c r="D130" s="57" t="str">
        <f>IFERROR(__xludf.DUMMYFUNCTION("""COMPUTED_VALUE"""),"5.032,0")</f>
        <v>5.032,0</v>
      </c>
      <c r="E130" s="57" t="str">
        <f>IFERROR(__xludf.DUMMYFUNCTION("""COMPUTED_VALUE"""),"5.068,0")</f>
        <v>5.068,0</v>
      </c>
      <c r="F130" s="57" t="str">
        <f>IFERROR(__xludf.DUMMYFUNCTION("""COMPUTED_VALUE"""),"4.982,0")</f>
        <v>4.982,0</v>
      </c>
      <c r="G130" s="57" t="str">
        <f>IFERROR(__xludf.DUMMYFUNCTION("""COMPUTED_VALUE"""),"+64,0")</f>
        <v>+64,0</v>
      </c>
      <c r="H130" s="57" t="str">
        <f>IFERROR(__xludf.DUMMYFUNCTION("""COMPUTED_VALUE"""),"+1,29%")</f>
        <v>+1,29%</v>
      </c>
      <c r="I130" s="57" t="str">
        <f>IFERROR(__xludf.DUMMYFUNCTION("""COMPUTED_VALUE"""),"1,17M")</f>
        <v>1,17M</v>
      </c>
      <c r="J130" s="59">
        <f>IFERROR(__xludf.DUMMYFUNCTION("""COMPUTED_VALUE"""),44421.0)</f>
        <v>44421</v>
      </c>
      <c r="K130" s="57"/>
    </row>
    <row r="131">
      <c r="B131" s="57"/>
      <c r="C131" s="57" t="str">
        <f>IFERROR(__xludf.DUMMYFUNCTION("""COMPUTED_VALUE"""),"Asahi Kasei Corp.")</f>
        <v>Asahi Kasei Corp.</v>
      </c>
      <c r="D131" s="57" t="str">
        <f>IFERROR(__xludf.DUMMYFUNCTION("""COMPUTED_VALUE"""),"1.198,0")</f>
        <v>1.198,0</v>
      </c>
      <c r="E131" s="57" t="str">
        <f>IFERROR(__xludf.DUMMYFUNCTION("""COMPUTED_VALUE"""),"1.212,0")</f>
        <v>1.212,0</v>
      </c>
      <c r="F131" s="57" t="str">
        <f>IFERROR(__xludf.DUMMYFUNCTION("""COMPUTED_VALUE"""),"1.197,0")</f>
        <v>1.197,0</v>
      </c>
      <c r="G131" s="57">
        <f>IFERROR(__xludf.DUMMYFUNCTION("""COMPUTED_VALUE"""),-11.0)</f>
        <v>-11</v>
      </c>
      <c r="H131" s="32">
        <f>IFERROR(__xludf.DUMMYFUNCTION("""COMPUTED_VALUE"""),-0.0091)</f>
        <v>-0.0091</v>
      </c>
      <c r="I131" s="57" t="str">
        <f>IFERROR(__xludf.DUMMYFUNCTION("""COMPUTED_VALUE"""),"1,84M")</f>
        <v>1,84M</v>
      </c>
      <c r="J131" s="59">
        <f>IFERROR(__xludf.DUMMYFUNCTION("""COMPUTED_VALUE"""),44421.0)</f>
        <v>44421</v>
      </c>
      <c r="K131" s="57"/>
    </row>
    <row r="132">
      <c r="B132" s="57"/>
      <c r="C132" s="57" t="str">
        <f>IFERROR(__xludf.DUMMYFUNCTION("""COMPUTED_VALUE"""),"Astellas Pharma Inc.")</f>
        <v>Astellas Pharma Inc.</v>
      </c>
      <c r="D132" s="57" t="str">
        <f>IFERROR(__xludf.DUMMYFUNCTION("""COMPUTED_VALUE"""),"1.788,5")</f>
        <v>1.788,5</v>
      </c>
      <c r="E132" s="57" t="str">
        <f>IFERROR(__xludf.DUMMYFUNCTION("""COMPUTED_VALUE"""),"1.797,0")</f>
        <v>1.797,0</v>
      </c>
      <c r="F132" s="57" t="str">
        <f>IFERROR(__xludf.DUMMYFUNCTION("""COMPUTED_VALUE"""),"1.778,0")</f>
        <v>1.778,0</v>
      </c>
      <c r="G132" s="57">
        <f>IFERROR(__xludf.DUMMYFUNCTION("""COMPUTED_VALUE"""),-6.5)</f>
        <v>-6.5</v>
      </c>
      <c r="H132" s="32">
        <f>IFERROR(__xludf.DUMMYFUNCTION("""COMPUTED_VALUE"""),-0.0036)</f>
        <v>-0.0036</v>
      </c>
      <c r="I132" s="57" t="str">
        <f>IFERROR(__xludf.DUMMYFUNCTION("""COMPUTED_VALUE"""),"3,96M")</f>
        <v>3,96M</v>
      </c>
      <c r="J132" s="59">
        <f>IFERROR(__xludf.DUMMYFUNCTION("""COMPUTED_VALUE"""),44421.0)</f>
        <v>44421</v>
      </c>
      <c r="K132" s="57"/>
    </row>
    <row r="133">
      <c r="B133" s="57"/>
      <c r="C133" s="57" t="str">
        <f>IFERROR(__xludf.DUMMYFUNCTION("""COMPUTED_VALUE"""),"Bridgestone Corp.")</f>
        <v>Bridgestone Corp.</v>
      </c>
      <c r="D133" s="57" t="str">
        <f>IFERROR(__xludf.DUMMYFUNCTION("""COMPUTED_VALUE"""),"5.144,0")</f>
        <v>5.144,0</v>
      </c>
      <c r="E133" s="57" t="str">
        <f>IFERROR(__xludf.DUMMYFUNCTION("""COMPUTED_VALUE"""),"5.161,0")</f>
        <v>5.161,0</v>
      </c>
      <c r="F133" s="57" t="str">
        <f>IFERROR(__xludf.DUMMYFUNCTION("""COMPUTED_VALUE"""),"5.064,0")</f>
        <v>5.064,0</v>
      </c>
      <c r="G133" s="57">
        <f>IFERROR(__xludf.DUMMYFUNCTION("""COMPUTED_VALUE"""),-5.0)</f>
        <v>-5</v>
      </c>
      <c r="H133" s="32">
        <f>IFERROR(__xludf.DUMMYFUNCTION("""COMPUTED_VALUE"""),-0.001)</f>
        <v>-0.001</v>
      </c>
      <c r="I133" s="57" t="str">
        <f>IFERROR(__xludf.DUMMYFUNCTION("""COMPUTED_VALUE"""),"2,32M")</f>
        <v>2,32M</v>
      </c>
      <c r="J133" s="59">
        <f>IFERROR(__xludf.DUMMYFUNCTION("""COMPUTED_VALUE"""),44421.0)</f>
        <v>44421</v>
      </c>
      <c r="K133" s="57"/>
    </row>
    <row r="134">
      <c r="B134" s="57"/>
      <c r="C134" s="57" t="str">
        <f>IFERROR(__xludf.DUMMYFUNCTION("""COMPUTED_VALUE"""),"Canon")</f>
        <v>Canon</v>
      </c>
      <c r="D134" s="57" t="str">
        <f>IFERROR(__xludf.DUMMYFUNCTION("""COMPUTED_VALUE"""),"2.638,0")</f>
        <v>2.638,0</v>
      </c>
      <c r="E134" s="57" t="str">
        <f>IFERROR(__xludf.DUMMYFUNCTION("""COMPUTED_VALUE"""),"2.652,0")</f>
        <v>2.652,0</v>
      </c>
      <c r="F134" s="57" t="str">
        <f>IFERROR(__xludf.DUMMYFUNCTION("""COMPUTED_VALUE"""),"2.631,5")</f>
        <v>2.631,5</v>
      </c>
      <c r="G134" s="57" t="str">
        <f>IFERROR(__xludf.DUMMYFUNCTION("""COMPUTED_VALUE"""),"+3,0")</f>
        <v>+3,0</v>
      </c>
      <c r="H134" s="57" t="str">
        <f>IFERROR(__xludf.DUMMYFUNCTION("""COMPUTED_VALUE"""),"+0,11%")</f>
        <v>+0,11%</v>
      </c>
      <c r="I134" s="57" t="str">
        <f>IFERROR(__xludf.DUMMYFUNCTION("""COMPUTED_VALUE"""),"2,18M")</f>
        <v>2,18M</v>
      </c>
      <c r="J134" s="59">
        <f>IFERROR(__xludf.DUMMYFUNCTION("""COMPUTED_VALUE"""),44421.0)</f>
        <v>44421</v>
      </c>
      <c r="K134" s="57"/>
    </row>
    <row r="135">
      <c r="B135" s="57"/>
      <c r="C135" s="57" t="str">
        <f>IFERROR(__xludf.DUMMYFUNCTION("""COMPUTED_VALUE"""),"Casio Computer")</f>
        <v>Casio Computer</v>
      </c>
      <c r="D135" s="57" t="str">
        <f>IFERROR(__xludf.DUMMYFUNCTION("""COMPUTED_VALUE"""),"1.861,0")</f>
        <v>1.861,0</v>
      </c>
      <c r="E135" s="57" t="str">
        <f>IFERROR(__xludf.DUMMYFUNCTION("""COMPUTED_VALUE"""),"1.873,0")</f>
        <v>1.873,0</v>
      </c>
      <c r="F135" s="57" t="str">
        <f>IFERROR(__xludf.DUMMYFUNCTION("""COMPUTED_VALUE"""),"1.852,0")</f>
        <v>1.852,0</v>
      </c>
      <c r="G135" s="57" t="str">
        <f>IFERROR(__xludf.DUMMYFUNCTION("""COMPUTED_VALUE"""),"+16,0")</f>
        <v>+16,0</v>
      </c>
      <c r="H135" s="57" t="str">
        <f>IFERROR(__xludf.DUMMYFUNCTION("""COMPUTED_VALUE"""),"+0,87%")</f>
        <v>+0,87%</v>
      </c>
      <c r="I135" s="57" t="str">
        <f>IFERROR(__xludf.DUMMYFUNCTION("""COMPUTED_VALUE"""),"836,60K")</f>
        <v>836,60K</v>
      </c>
      <c r="J135" s="59">
        <f>IFERROR(__xludf.DUMMYFUNCTION("""COMPUTED_VALUE"""),44421.0)</f>
        <v>44421</v>
      </c>
      <c r="K135" s="57"/>
    </row>
    <row r="136">
      <c r="B136" s="57"/>
      <c r="C136" s="57" t="str">
        <f>IFERROR(__xludf.DUMMYFUNCTION("""COMPUTED_VALUE"""),"Central Japan Railway Co.")</f>
        <v>Central Japan Railway Co.</v>
      </c>
      <c r="D136" s="57" t="str">
        <f>IFERROR(__xludf.DUMMYFUNCTION("""COMPUTED_VALUE"""),"16.000,0")</f>
        <v>16.000,0</v>
      </c>
      <c r="E136" s="57" t="str">
        <f>IFERROR(__xludf.DUMMYFUNCTION("""COMPUTED_VALUE"""),"16.155,0")</f>
        <v>16.155,0</v>
      </c>
      <c r="F136" s="57" t="str">
        <f>IFERROR(__xludf.DUMMYFUNCTION("""COMPUTED_VALUE"""),"15.955,0")</f>
        <v>15.955,0</v>
      </c>
      <c r="G136" s="57">
        <f>IFERROR(__xludf.DUMMYFUNCTION("""COMPUTED_VALUE"""),-120.0)</f>
        <v>-120</v>
      </c>
      <c r="H136" s="32">
        <f>IFERROR(__xludf.DUMMYFUNCTION("""COMPUTED_VALUE"""),-0.0074)</f>
        <v>-0.0074</v>
      </c>
      <c r="I136" s="57" t="str">
        <f>IFERROR(__xludf.DUMMYFUNCTION("""COMPUTED_VALUE"""),"450,60K")</f>
        <v>450,60K</v>
      </c>
      <c r="J136" s="59">
        <f>IFERROR(__xludf.DUMMYFUNCTION("""COMPUTED_VALUE"""),44421.0)</f>
        <v>44421</v>
      </c>
      <c r="K136" s="57"/>
    </row>
    <row r="137">
      <c r="B137" s="57"/>
      <c r="C137" s="57" t="str">
        <f>IFERROR(__xludf.DUMMYFUNCTION("""COMPUTED_VALUE"""),"Chiba Bank")</f>
        <v>Chiba Bank</v>
      </c>
      <c r="D137" s="57">
        <f>IFERROR(__xludf.DUMMYFUNCTION("""COMPUTED_VALUE"""),691.0)</f>
        <v>691</v>
      </c>
      <c r="E137" s="57">
        <f>IFERROR(__xludf.DUMMYFUNCTION("""COMPUTED_VALUE"""),699.0)</f>
        <v>699</v>
      </c>
      <c r="F137" s="57">
        <f>IFERROR(__xludf.DUMMYFUNCTION("""COMPUTED_VALUE"""),690.0)</f>
        <v>690</v>
      </c>
      <c r="G137" s="57">
        <f>IFERROR(__xludf.DUMMYFUNCTION("""COMPUTED_VALUE"""),-6.0)</f>
        <v>-6</v>
      </c>
      <c r="H137" s="32">
        <f>IFERROR(__xludf.DUMMYFUNCTION("""COMPUTED_VALUE"""),-0.0086)</f>
        <v>-0.0086</v>
      </c>
      <c r="I137" s="57" t="str">
        <f>IFERROR(__xludf.DUMMYFUNCTION("""COMPUTED_VALUE"""),"1,54M")</f>
        <v>1,54M</v>
      </c>
      <c r="J137" s="59">
        <f>IFERROR(__xludf.DUMMYFUNCTION("""COMPUTED_VALUE"""),44421.0)</f>
        <v>44421</v>
      </c>
      <c r="K137" s="57"/>
    </row>
    <row r="138">
      <c r="B138" s="57"/>
      <c r="C138" s="57" t="str">
        <f>IFERROR(__xludf.DUMMYFUNCTION("""COMPUTED_VALUE"""),"Chiyoda Corp.")</f>
        <v>Chiyoda Corp.</v>
      </c>
      <c r="D138" s="57">
        <f>IFERROR(__xludf.DUMMYFUNCTION("""COMPUTED_VALUE"""),387.0)</f>
        <v>387</v>
      </c>
      <c r="E138" s="57">
        <f>IFERROR(__xludf.DUMMYFUNCTION("""COMPUTED_VALUE"""),393.0)</f>
        <v>393</v>
      </c>
      <c r="F138" s="57">
        <f>IFERROR(__xludf.DUMMYFUNCTION("""COMPUTED_VALUE"""),383.0)</f>
        <v>383</v>
      </c>
      <c r="G138" s="57" t="str">
        <f>IFERROR(__xludf.DUMMYFUNCTION("""COMPUTED_VALUE"""),"+1,0")</f>
        <v>+1,0</v>
      </c>
      <c r="H138" s="57" t="str">
        <f>IFERROR(__xludf.DUMMYFUNCTION("""COMPUTED_VALUE"""),"+0,26%")</f>
        <v>+0,26%</v>
      </c>
      <c r="I138" s="57" t="str">
        <f>IFERROR(__xludf.DUMMYFUNCTION("""COMPUTED_VALUE"""),"1,68M")</f>
        <v>1,68M</v>
      </c>
      <c r="J138" s="59">
        <f>IFERROR(__xludf.DUMMYFUNCTION("""COMPUTED_VALUE"""),44421.0)</f>
        <v>44421</v>
      </c>
      <c r="K138" s="57"/>
    </row>
    <row r="139">
      <c r="B139" s="57"/>
      <c r="C139" s="57" t="str">
        <f>IFERROR(__xludf.DUMMYFUNCTION("""COMPUTED_VALUE"""),"Chubu Electric Power Co., Inc.")</f>
        <v>Chubu Electric Power Co., Inc.</v>
      </c>
      <c r="D139" s="57" t="str">
        <f>IFERROR(__xludf.DUMMYFUNCTION("""COMPUTED_VALUE"""),"1.351,5")</f>
        <v>1.351,5</v>
      </c>
      <c r="E139" s="57" t="str">
        <f>IFERROR(__xludf.DUMMYFUNCTION("""COMPUTED_VALUE"""),"1.372,0")</f>
        <v>1.372,0</v>
      </c>
      <c r="F139" s="57" t="str">
        <f>IFERROR(__xludf.DUMMYFUNCTION("""COMPUTED_VALUE"""),"1.351,0")</f>
        <v>1.351,0</v>
      </c>
      <c r="G139" s="57">
        <f>IFERROR(__xludf.DUMMYFUNCTION("""COMPUTED_VALUE"""),-12.5)</f>
        <v>-12.5</v>
      </c>
      <c r="H139" s="32">
        <f>IFERROR(__xludf.DUMMYFUNCTION("""COMPUTED_VALUE"""),-0.0092)</f>
        <v>-0.0092</v>
      </c>
      <c r="I139" s="57" t="str">
        <f>IFERROR(__xludf.DUMMYFUNCTION("""COMPUTED_VALUE"""),"1,38M")</f>
        <v>1,38M</v>
      </c>
      <c r="J139" s="59">
        <f>IFERROR(__xludf.DUMMYFUNCTION("""COMPUTED_VALUE"""),44421.0)</f>
        <v>44421</v>
      </c>
      <c r="K139" s="57"/>
    </row>
    <row r="140">
      <c r="B140" s="57"/>
      <c r="C140" s="57" t="str">
        <f>IFERROR(__xludf.DUMMYFUNCTION("""COMPUTED_VALUE"""),"Chugai Pharmaceutical")</f>
        <v>Chugai Pharmaceutical</v>
      </c>
      <c r="D140" s="57" t="str">
        <f>IFERROR(__xludf.DUMMYFUNCTION("""COMPUTED_VALUE"""),"4.108,0")</f>
        <v>4.108,0</v>
      </c>
      <c r="E140" s="57" t="str">
        <f>IFERROR(__xludf.DUMMYFUNCTION("""COMPUTED_VALUE"""),"4.124,0")</f>
        <v>4.124,0</v>
      </c>
      <c r="F140" s="57" t="str">
        <f>IFERROR(__xludf.DUMMYFUNCTION("""COMPUTED_VALUE"""),"4.087,0")</f>
        <v>4.087,0</v>
      </c>
      <c r="G140" s="57" t="str">
        <f>IFERROR(__xludf.DUMMYFUNCTION("""COMPUTED_VALUE"""),"+14,0")</f>
        <v>+14,0</v>
      </c>
      <c r="H140" s="57" t="str">
        <f>IFERROR(__xludf.DUMMYFUNCTION("""COMPUTED_VALUE"""),"+0,34%")</f>
        <v>+0,34%</v>
      </c>
      <c r="I140" s="57" t="str">
        <f>IFERROR(__xludf.DUMMYFUNCTION("""COMPUTED_VALUE"""),"2,67M")</f>
        <v>2,67M</v>
      </c>
      <c r="J140" s="59">
        <f>IFERROR(__xludf.DUMMYFUNCTION("""COMPUTED_VALUE"""),44421.0)</f>
        <v>44421</v>
      </c>
      <c r="K140" s="57"/>
    </row>
    <row r="141">
      <c r="B141" s="57"/>
      <c r="C141" s="57" t="str">
        <f>IFERROR(__xludf.DUMMYFUNCTION("""COMPUTED_VALUE"""),"Citizen Holdings")</f>
        <v>Citizen Holdings</v>
      </c>
      <c r="D141" s="57">
        <f>IFERROR(__xludf.DUMMYFUNCTION("""COMPUTED_VALUE"""),438.0)</f>
        <v>438</v>
      </c>
      <c r="E141" s="57">
        <f>IFERROR(__xludf.DUMMYFUNCTION("""COMPUTED_VALUE"""),442.0)</f>
        <v>442</v>
      </c>
      <c r="F141" s="57">
        <f>IFERROR(__xludf.DUMMYFUNCTION("""COMPUTED_VALUE"""),436.0)</f>
        <v>436</v>
      </c>
      <c r="G141" s="57" t="str">
        <f>IFERROR(__xludf.DUMMYFUNCTION("""COMPUTED_VALUE"""),"+4,0")</f>
        <v>+4,0</v>
      </c>
      <c r="H141" s="57" t="str">
        <f>IFERROR(__xludf.DUMMYFUNCTION("""COMPUTED_VALUE"""),"+0,92%")</f>
        <v>+0,92%</v>
      </c>
      <c r="I141" s="57" t="str">
        <f>IFERROR(__xludf.DUMMYFUNCTION("""COMPUTED_VALUE"""),"1,86M")</f>
        <v>1,86M</v>
      </c>
      <c r="J141" s="59">
        <f>IFERROR(__xludf.DUMMYFUNCTION("""COMPUTED_VALUE"""),44421.0)</f>
        <v>44421</v>
      </c>
      <c r="K141" s="57"/>
    </row>
    <row r="142">
      <c r="B142" s="57"/>
      <c r="C142" s="57" t="str">
        <f>IFERROR(__xludf.DUMMYFUNCTION("""COMPUTED_VALUE"""),"Comsys Holdings Corp.")</f>
        <v>Comsys Holdings Corp.</v>
      </c>
      <c r="D142" s="57" t="str">
        <f>IFERROR(__xludf.DUMMYFUNCTION("""COMPUTED_VALUE"""),"3.020,0")</f>
        <v>3.020,0</v>
      </c>
      <c r="E142" s="57" t="str">
        <f>IFERROR(__xludf.DUMMYFUNCTION("""COMPUTED_VALUE"""),"3.080,0")</f>
        <v>3.080,0</v>
      </c>
      <c r="F142" s="57" t="str">
        <f>IFERROR(__xludf.DUMMYFUNCTION("""COMPUTED_VALUE"""),"3.015,0")</f>
        <v>3.015,0</v>
      </c>
      <c r="G142" s="57">
        <f>IFERROR(__xludf.DUMMYFUNCTION("""COMPUTED_VALUE"""),-20.0)</f>
        <v>-20</v>
      </c>
      <c r="H142" s="32">
        <f>IFERROR(__xludf.DUMMYFUNCTION("""COMPUTED_VALUE"""),-0.0066)</f>
        <v>-0.0066</v>
      </c>
      <c r="I142" s="57" t="str">
        <f>IFERROR(__xludf.DUMMYFUNCTION("""COMPUTED_VALUE"""),"547,10K")</f>
        <v>547,10K</v>
      </c>
      <c r="J142" s="59">
        <f>IFERROR(__xludf.DUMMYFUNCTION("""COMPUTED_VALUE"""),44421.0)</f>
        <v>44421</v>
      </c>
      <c r="K142" s="57"/>
    </row>
    <row r="143">
      <c r="B143" s="57"/>
      <c r="C143" s="57" t="str">
        <f>IFERROR(__xludf.DUMMYFUNCTION("""COMPUTED_VALUE"""),"Concordia Financial Group")</f>
        <v>Concordia Financial Group</v>
      </c>
      <c r="D143" s="57">
        <f>IFERROR(__xludf.DUMMYFUNCTION("""COMPUTED_VALUE"""),440.0)</f>
        <v>440</v>
      </c>
      <c r="E143" s="57">
        <f>IFERROR(__xludf.DUMMYFUNCTION("""COMPUTED_VALUE"""),441.0)</f>
        <v>441</v>
      </c>
      <c r="F143" s="57">
        <f>IFERROR(__xludf.DUMMYFUNCTION("""COMPUTED_VALUE"""),436.0)</f>
        <v>436</v>
      </c>
      <c r="G143" s="57" t="str">
        <f>IFERROR(__xludf.DUMMYFUNCTION("""COMPUTED_VALUE"""),"+5,0")</f>
        <v>+5,0</v>
      </c>
      <c r="H143" s="57" t="str">
        <f>IFERROR(__xludf.DUMMYFUNCTION("""COMPUTED_VALUE"""),"+1,15%")</f>
        <v>+1,15%</v>
      </c>
      <c r="I143" s="57" t="str">
        <f>IFERROR(__xludf.DUMMYFUNCTION("""COMPUTED_VALUE"""),"3,33M")</f>
        <v>3,33M</v>
      </c>
      <c r="J143" s="59">
        <f>IFERROR(__xludf.DUMMYFUNCTION("""COMPUTED_VALUE"""),44421.0)</f>
        <v>44421</v>
      </c>
      <c r="K143" s="57"/>
    </row>
    <row r="144">
      <c r="B144" s="57"/>
      <c r="C144" s="57" t="str">
        <f>IFERROR(__xludf.DUMMYFUNCTION("""COMPUTED_VALUE"""),"Credit Saison")</f>
        <v>Credit Saison</v>
      </c>
      <c r="D144" s="57" t="str">
        <f>IFERROR(__xludf.DUMMYFUNCTION("""COMPUTED_VALUE"""),"1.291,0")</f>
        <v>1.291,0</v>
      </c>
      <c r="E144" s="57" t="str">
        <f>IFERROR(__xludf.DUMMYFUNCTION("""COMPUTED_VALUE"""),"1.322,0")</f>
        <v>1.322,0</v>
      </c>
      <c r="F144" s="57" t="str">
        <f>IFERROR(__xludf.DUMMYFUNCTION("""COMPUTED_VALUE"""),"1.288,0")</f>
        <v>1.288,0</v>
      </c>
      <c r="G144" s="57">
        <f>IFERROR(__xludf.DUMMYFUNCTION("""COMPUTED_VALUE"""),-29.0)</f>
        <v>-29</v>
      </c>
      <c r="H144" s="32">
        <f>IFERROR(__xludf.DUMMYFUNCTION("""COMPUTED_VALUE"""),-0.022)</f>
        <v>-0.022</v>
      </c>
      <c r="I144" s="57" t="str">
        <f>IFERROR(__xludf.DUMMYFUNCTION("""COMPUTED_VALUE"""),"774,00K")</f>
        <v>774,00K</v>
      </c>
      <c r="J144" s="59">
        <f>IFERROR(__xludf.DUMMYFUNCTION("""COMPUTED_VALUE"""),44421.0)</f>
        <v>44421</v>
      </c>
      <c r="K144" s="57"/>
    </row>
    <row r="145">
      <c r="B145" s="57"/>
      <c r="C145" s="57" t="str">
        <f>IFERROR(__xludf.DUMMYFUNCTION("""COMPUTED_VALUE"""),"CyberAgent Inc")</f>
        <v>CyberAgent Inc</v>
      </c>
      <c r="D145" s="57" t="str">
        <f>IFERROR(__xludf.DUMMYFUNCTION("""COMPUTED_VALUE"""),"1.969,0")</f>
        <v>1.969,0</v>
      </c>
      <c r="E145" s="57" t="str">
        <f>IFERROR(__xludf.DUMMYFUNCTION("""COMPUTED_VALUE"""),"1.994,0")</f>
        <v>1.994,0</v>
      </c>
      <c r="F145" s="57" t="str">
        <f>IFERROR(__xludf.DUMMYFUNCTION("""COMPUTED_VALUE"""),"1.967,0")</f>
        <v>1.967,0</v>
      </c>
      <c r="G145" s="57">
        <f>IFERROR(__xludf.DUMMYFUNCTION("""COMPUTED_VALUE"""),-2.0)</f>
        <v>-2</v>
      </c>
      <c r="H145" s="32">
        <f>IFERROR(__xludf.DUMMYFUNCTION("""COMPUTED_VALUE"""),-0.001)</f>
        <v>-0.001</v>
      </c>
      <c r="I145" s="57" t="str">
        <f>IFERROR(__xludf.DUMMYFUNCTION("""COMPUTED_VALUE"""),"3,17M")</f>
        <v>3,17M</v>
      </c>
      <c r="J145" s="59">
        <f>IFERROR(__xludf.DUMMYFUNCTION("""COMPUTED_VALUE"""),44421.0)</f>
        <v>44421</v>
      </c>
      <c r="K145" s="57"/>
    </row>
    <row r="146">
      <c r="B146" s="57"/>
      <c r="C146" s="57" t="str">
        <f>IFERROR(__xludf.DUMMYFUNCTION("""COMPUTED_VALUE"""),"Dai Nippon Printing")</f>
        <v>Dai Nippon Printing</v>
      </c>
      <c r="D146" s="57" t="str">
        <f>IFERROR(__xludf.DUMMYFUNCTION("""COMPUTED_VALUE"""),"2.525,0")</f>
        <v>2.525,0</v>
      </c>
      <c r="E146" s="57" t="str">
        <f>IFERROR(__xludf.DUMMYFUNCTION("""COMPUTED_VALUE"""),"2.552,0")</f>
        <v>2.552,0</v>
      </c>
      <c r="F146" s="57" t="str">
        <f>IFERROR(__xludf.DUMMYFUNCTION("""COMPUTED_VALUE"""),"2.519,0")</f>
        <v>2.519,0</v>
      </c>
      <c r="G146" s="57">
        <f>IFERROR(__xludf.DUMMYFUNCTION("""COMPUTED_VALUE"""),-14.0)</f>
        <v>-14</v>
      </c>
      <c r="H146" s="32">
        <f>IFERROR(__xludf.DUMMYFUNCTION("""COMPUTED_VALUE"""),-0.0055)</f>
        <v>-0.0055</v>
      </c>
      <c r="I146" s="57" t="str">
        <f>IFERROR(__xludf.DUMMYFUNCTION("""COMPUTED_VALUE"""),"526,40K")</f>
        <v>526,40K</v>
      </c>
      <c r="J146" s="59">
        <f>IFERROR(__xludf.DUMMYFUNCTION("""COMPUTED_VALUE"""),44421.0)</f>
        <v>44421</v>
      </c>
      <c r="K146" s="57"/>
    </row>
    <row r="147">
      <c r="B147" s="57"/>
      <c r="C147" s="57" t="str">
        <f>IFERROR(__xludf.DUMMYFUNCTION("""COMPUTED_VALUE"""),"Dai-ichi Life")</f>
        <v>Dai-ichi Life</v>
      </c>
      <c r="D147" s="57" t="str">
        <f>IFERROR(__xludf.DUMMYFUNCTION("""COMPUTED_VALUE"""),"2.218,0")</f>
        <v>2.218,0</v>
      </c>
      <c r="E147" s="57" t="str">
        <f>IFERROR(__xludf.DUMMYFUNCTION("""COMPUTED_VALUE"""),"2.241,5")</f>
        <v>2.241,5</v>
      </c>
      <c r="F147" s="57" t="str">
        <f>IFERROR(__xludf.DUMMYFUNCTION("""COMPUTED_VALUE"""),"2.214,0")</f>
        <v>2.214,0</v>
      </c>
      <c r="G147" s="57">
        <f>IFERROR(__xludf.DUMMYFUNCTION("""COMPUTED_VALUE"""),-6.0)</f>
        <v>-6</v>
      </c>
      <c r="H147" s="32">
        <f>IFERROR(__xludf.DUMMYFUNCTION("""COMPUTED_VALUE"""),-0.0027)</f>
        <v>-0.0027</v>
      </c>
      <c r="I147" s="57" t="str">
        <f>IFERROR(__xludf.DUMMYFUNCTION("""COMPUTED_VALUE"""),"3,07M")</f>
        <v>3,07M</v>
      </c>
      <c r="J147" s="59">
        <f>IFERROR(__xludf.DUMMYFUNCTION("""COMPUTED_VALUE"""),44421.0)</f>
        <v>44421</v>
      </c>
      <c r="K147" s="57"/>
    </row>
    <row r="148">
      <c r="B148" s="57"/>
      <c r="C148" s="57" t="str">
        <f>IFERROR(__xludf.DUMMYFUNCTION("""COMPUTED_VALUE"""),"Daiichi Sankyo")</f>
        <v>Daiichi Sankyo</v>
      </c>
      <c r="D148" s="57" t="str">
        <f>IFERROR(__xludf.DUMMYFUNCTION("""COMPUTED_VALUE"""),"2.296,5")</f>
        <v>2.296,5</v>
      </c>
      <c r="E148" s="57" t="str">
        <f>IFERROR(__xludf.DUMMYFUNCTION("""COMPUTED_VALUE"""),"2.318,0")</f>
        <v>2.318,0</v>
      </c>
      <c r="F148" s="57" t="str">
        <f>IFERROR(__xludf.DUMMYFUNCTION("""COMPUTED_VALUE"""),"2.258,5")</f>
        <v>2.258,5</v>
      </c>
      <c r="G148" s="57" t="str">
        <f>IFERROR(__xludf.DUMMYFUNCTION("""COMPUTED_VALUE"""),"+25,0")</f>
        <v>+25,0</v>
      </c>
      <c r="H148" s="57" t="str">
        <f>IFERROR(__xludf.DUMMYFUNCTION("""COMPUTED_VALUE"""),"+1,10%")</f>
        <v>+1,10%</v>
      </c>
      <c r="I148" s="57" t="str">
        <f>IFERROR(__xludf.DUMMYFUNCTION("""COMPUTED_VALUE"""),"7,89M")</f>
        <v>7,89M</v>
      </c>
      <c r="J148" s="59">
        <f>IFERROR(__xludf.DUMMYFUNCTION("""COMPUTED_VALUE"""),44421.0)</f>
        <v>44421</v>
      </c>
      <c r="K148" s="57"/>
    </row>
    <row r="149">
      <c r="B149" s="57"/>
      <c r="C149" s="57" t="str">
        <f>IFERROR(__xludf.DUMMYFUNCTION("""COMPUTED_VALUE"""),"Daikin Industries")</f>
        <v>Daikin Industries</v>
      </c>
      <c r="D149" s="57" t="str">
        <f>IFERROR(__xludf.DUMMYFUNCTION("""COMPUTED_VALUE"""),"26.000,0")</f>
        <v>26.000,0</v>
      </c>
      <c r="E149" s="57" t="str">
        <f>IFERROR(__xludf.DUMMYFUNCTION("""COMPUTED_VALUE"""),"26.130,0")</f>
        <v>26.130,0</v>
      </c>
      <c r="F149" s="57" t="str">
        <f>IFERROR(__xludf.DUMMYFUNCTION("""COMPUTED_VALUE"""),"25.910,0")</f>
        <v>25.910,0</v>
      </c>
      <c r="G149" s="57" t="str">
        <f>IFERROR(__xludf.DUMMYFUNCTION("""COMPUTED_VALUE"""),"+10,0")</f>
        <v>+10,0</v>
      </c>
      <c r="H149" s="57" t="str">
        <f>IFERROR(__xludf.DUMMYFUNCTION("""COMPUTED_VALUE"""),"+0,04%")</f>
        <v>+0,04%</v>
      </c>
      <c r="I149" s="57" t="str">
        <f>IFERROR(__xludf.DUMMYFUNCTION("""COMPUTED_VALUE"""),"636,60K")</f>
        <v>636,60K</v>
      </c>
      <c r="J149" s="59">
        <f>IFERROR(__xludf.DUMMYFUNCTION("""COMPUTED_VALUE"""),44421.0)</f>
        <v>44421</v>
      </c>
      <c r="K149" s="57"/>
    </row>
    <row r="150">
      <c r="B150" s="57"/>
      <c r="C150" s="57" t="str">
        <f>IFERROR(__xludf.DUMMYFUNCTION("""COMPUTED_VALUE"""),"Dainippon Screen Mfg.")</f>
        <v>Dainippon Screen Mfg.</v>
      </c>
      <c r="D150" s="57" t="str">
        <f>IFERROR(__xludf.DUMMYFUNCTION("""COMPUTED_VALUE"""),"9.740,0")</f>
        <v>9.740,0</v>
      </c>
      <c r="E150" s="57" t="str">
        <f>IFERROR(__xludf.DUMMYFUNCTION("""COMPUTED_VALUE"""),"10.060,0")</f>
        <v>10.060,0</v>
      </c>
      <c r="F150" s="57" t="str">
        <f>IFERROR(__xludf.DUMMYFUNCTION("""COMPUTED_VALUE"""),"9.730,0")</f>
        <v>9.730,0</v>
      </c>
      <c r="G150" s="57">
        <f>IFERROR(__xludf.DUMMYFUNCTION("""COMPUTED_VALUE"""),-370.0)</f>
        <v>-370</v>
      </c>
      <c r="H150" s="32">
        <f>IFERROR(__xludf.DUMMYFUNCTION("""COMPUTED_VALUE"""),-0.0366)</f>
        <v>-0.0366</v>
      </c>
      <c r="I150" s="57" t="str">
        <f>IFERROR(__xludf.DUMMYFUNCTION("""COMPUTED_VALUE"""),"653,20K")</f>
        <v>653,20K</v>
      </c>
      <c r="J150" s="59">
        <f>IFERROR(__xludf.DUMMYFUNCTION("""COMPUTED_VALUE"""),44421.0)</f>
        <v>44421</v>
      </c>
      <c r="K150" s="57"/>
    </row>
    <row r="151">
      <c r="B151" s="57"/>
      <c r="C151" s="57" t="str">
        <f>IFERROR(__xludf.DUMMYFUNCTION("""COMPUTED_VALUE"""),"Daiwa House Industry")</f>
        <v>Daiwa House Industry</v>
      </c>
      <c r="D151" s="57" t="str">
        <f>IFERROR(__xludf.DUMMYFUNCTION("""COMPUTED_VALUE"""),"3.397,0")</f>
        <v>3.397,0</v>
      </c>
      <c r="E151" s="57" t="str">
        <f>IFERROR(__xludf.DUMMYFUNCTION("""COMPUTED_VALUE"""),"3.422,0")</f>
        <v>3.422,0</v>
      </c>
      <c r="F151" s="57" t="str">
        <f>IFERROR(__xludf.DUMMYFUNCTION("""COMPUTED_VALUE"""),"3.395,0")</f>
        <v>3.395,0</v>
      </c>
      <c r="G151" s="57">
        <f>IFERROR(__xludf.DUMMYFUNCTION("""COMPUTED_VALUE"""),-23.0)</f>
        <v>-23</v>
      </c>
      <c r="H151" s="32">
        <f>IFERROR(__xludf.DUMMYFUNCTION("""COMPUTED_VALUE"""),-0.0067)</f>
        <v>-0.0067</v>
      </c>
      <c r="I151" s="57" t="str">
        <f>IFERROR(__xludf.DUMMYFUNCTION("""COMPUTED_VALUE"""),"1,15M")</f>
        <v>1,15M</v>
      </c>
      <c r="J151" s="59">
        <f>IFERROR(__xludf.DUMMYFUNCTION("""COMPUTED_VALUE"""),44421.0)</f>
        <v>44421</v>
      </c>
      <c r="K151" s="57"/>
    </row>
    <row r="152">
      <c r="B152" s="57"/>
      <c r="C152" s="57" t="str">
        <f>IFERROR(__xludf.DUMMYFUNCTION("""COMPUTED_VALUE"""),"Daiwa Securities Group Inc.")</f>
        <v>Daiwa Securities Group Inc.</v>
      </c>
      <c r="D152" s="57">
        <f>IFERROR(__xludf.DUMMYFUNCTION("""COMPUTED_VALUE"""),602.5)</f>
        <v>602.5</v>
      </c>
      <c r="E152" s="57">
        <f>IFERROR(__xludf.DUMMYFUNCTION("""COMPUTED_VALUE"""),606.3)</f>
        <v>606.3</v>
      </c>
      <c r="F152" s="57">
        <f>IFERROR(__xludf.DUMMYFUNCTION("""COMPUTED_VALUE"""),600.7)</f>
        <v>600.7</v>
      </c>
      <c r="G152" s="57">
        <f>IFERROR(__xludf.DUMMYFUNCTION("""COMPUTED_VALUE"""),-3.4)</f>
        <v>-3.4</v>
      </c>
      <c r="H152" s="32">
        <f>IFERROR(__xludf.DUMMYFUNCTION("""COMPUTED_VALUE"""),-0.0056)</f>
        <v>-0.0056</v>
      </c>
      <c r="I152" s="57" t="str">
        <f>IFERROR(__xludf.DUMMYFUNCTION("""COMPUTED_VALUE"""),"3,48M")</f>
        <v>3,48M</v>
      </c>
      <c r="J152" s="59">
        <f>IFERROR(__xludf.DUMMYFUNCTION("""COMPUTED_VALUE"""),44421.0)</f>
        <v>44421</v>
      </c>
      <c r="K152" s="57"/>
    </row>
    <row r="153">
      <c r="B153" s="57"/>
      <c r="C153" s="57" t="str">
        <f>IFERROR(__xludf.DUMMYFUNCTION("""COMPUTED_VALUE"""),"DeNA Co")</f>
        <v>DeNA Co</v>
      </c>
      <c r="D153" s="57" t="str">
        <f>IFERROR(__xludf.DUMMYFUNCTION("""COMPUTED_VALUE"""),"1.998,0")</f>
        <v>1.998,0</v>
      </c>
      <c r="E153" s="57" t="str">
        <f>IFERROR(__xludf.DUMMYFUNCTION("""COMPUTED_VALUE"""),"2.004,0")</f>
        <v>2.004,0</v>
      </c>
      <c r="F153" s="57" t="str">
        <f>IFERROR(__xludf.DUMMYFUNCTION("""COMPUTED_VALUE"""),"1.982,0")</f>
        <v>1.982,0</v>
      </c>
      <c r="G153" s="57" t="str">
        <f>IFERROR(__xludf.DUMMYFUNCTION("""COMPUTED_VALUE"""),"+21,0")</f>
        <v>+21,0</v>
      </c>
      <c r="H153" s="57" t="str">
        <f>IFERROR(__xludf.DUMMYFUNCTION("""COMPUTED_VALUE"""),"+1,06%")</f>
        <v>+1,06%</v>
      </c>
      <c r="I153" s="57" t="str">
        <f>IFERROR(__xludf.DUMMYFUNCTION("""COMPUTED_VALUE"""),"810,10K")</f>
        <v>810,10K</v>
      </c>
      <c r="J153" s="59">
        <f>IFERROR(__xludf.DUMMYFUNCTION("""COMPUTED_VALUE"""),44421.0)</f>
        <v>44421</v>
      </c>
      <c r="K153" s="57"/>
    </row>
    <row r="154">
      <c r="B154" s="57"/>
      <c r="C154" s="57" t="str">
        <f>IFERROR(__xludf.DUMMYFUNCTION("""COMPUTED_VALUE"""),"Denki Kagaku Kogyo K.K.")</f>
        <v>Denki Kagaku Kogyo K.K.</v>
      </c>
      <c r="D154" s="57" t="str">
        <f>IFERROR(__xludf.DUMMYFUNCTION("""COMPUTED_VALUE"""),"3.860,0")</f>
        <v>3.860,0</v>
      </c>
      <c r="E154" s="57" t="str">
        <f>IFERROR(__xludf.DUMMYFUNCTION("""COMPUTED_VALUE"""),"3.910,0")</f>
        <v>3.910,0</v>
      </c>
      <c r="F154" s="57" t="str">
        <f>IFERROR(__xludf.DUMMYFUNCTION("""COMPUTED_VALUE"""),"3.845,0")</f>
        <v>3.845,0</v>
      </c>
      <c r="G154" s="57">
        <f>IFERROR(__xludf.DUMMYFUNCTION("""COMPUTED_VALUE"""),-40.0)</f>
        <v>-40</v>
      </c>
      <c r="H154" s="32">
        <f>IFERROR(__xludf.DUMMYFUNCTION("""COMPUTED_VALUE"""),-0.0103)</f>
        <v>-0.0103</v>
      </c>
      <c r="I154" s="57" t="str">
        <f>IFERROR(__xludf.DUMMYFUNCTION("""COMPUTED_VALUE"""),"247,70K")</f>
        <v>247,70K</v>
      </c>
      <c r="J154" s="59">
        <f>IFERROR(__xludf.DUMMYFUNCTION("""COMPUTED_VALUE"""),44421.0)</f>
        <v>44421</v>
      </c>
      <c r="K154" s="57"/>
    </row>
    <row r="155">
      <c r="B155" s="57"/>
      <c r="C155" s="57" t="str">
        <f>IFERROR(__xludf.DUMMYFUNCTION("""COMPUTED_VALUE"""),"Denso Corp.")</f>
        <v>Denso Corp.</v>
      </c>
      <c r="D155" s="57" t="str">
        <f>IFERROR(__xludf.DUMMYFUNCTION("""COMPUTED_VALUE"""),"7.820,0")</f>
        <v>7.820,0</v>
      </c>
      <c r="E155" s="57" t="str">
        <f>IFERROR(__xludf.DUMMYFUNCTION("""COMPUTED_VALUE"""),"7.831,0")</f>
        <v>7.831,0</v>
      </c>
      <c r="F155" s="57" t="str">
        <f>IFERROR(__xludf.DUMMYFUNCTION("""COMPUTED_VALUE"""),"7.755,0")</f>
        <v>7.755,0</v>
      </c>
      <c r="G155" s="57" t="str">
        <f>IFERROR(__xludf.DUMMYFUNCTION("""COMPUTED_VALUE"""),"+31,0")</f>
        <v>+31,0</v>
      </c>
      <c r="H155" s="57" t="str">
        <f>IFERROR(__xludf.DUMMYFUNCTION("""COMPUTED_VALUE"""),"+0,40%")</f>
        <v>+0,40%</v>
      </c>
      <c r="I155" s="57" t="str">
        <f>IFERROR(__xludf.DUMMYFUNCTION("""COMPUTED_VALUE"""),"883,60K")</f>
        <v>883,60K</v>
      </c>
      <c r="J155" s="59">
        <f>IFERROR(__xludf.DUMMYFUNCTION("""COMPUTED_VALUE"""),44421.0)</f>
        <v>44421</v>
      </c>
      <c r="K155" s="57"/>
    </row>
    <row r="156">
      <c r="B156" s="57"/>
      <c r="C156" s="57" t="str">
        <f>IFERROR(__xludf.DUMMYFUNCTION("""COMPUTED_VALUE"""),"Dentsu Inc.")</f>
        <v>Dentsu Inc.</v>
      </c>
      <c r="D156" s="57" t="str">
        <f>IFERROR(__xludf.DUMMYFUNCTION("""COMPUTED_VALUE"""),"4.185,0")</f>
        <v>4.185,0</v>
      </c>
      <c r="E156" s="57" t="str">
        <f>IFERROR(__xludf.DUMMYFUNCTION("""COMPUTED_VALUE"""),"4.330,0")</f>
        <v>4.330,0</v>
      </c>
      <c r="F156" s="57" t="str">
        <f>IFERROR(__xludf.DUMMYFUNCTION("""COMPUTED_VALUE"""),"4.165,0")</f>
        <v>4.165,0</v>
      </c>
      <c r="G156" s="57">
        <f>IFERROR(__xludf.DUMMYFUNCTION("""COMPUTED_VALUE"""),-100.0)</f>
        <v>-100</v>
      </c>
      <c r="H156" s="32">
        <f>IFERROR(__xludf.DUMMYFUNCTION("""COMPUTED_VALUE"""),-0.0233)</f>
        <v>-0.0233</v>
      </c>
      <c r="I156" s="57" t="str">
        <f>IFERROR(__xludf.DUMMYFUNCTION("""COMPUTED_VALUE"""),"1,65M")</f>
        <v>1,65M</v>
      </c>
      <c r="J156" s="59">
        <f>IFERROR(__xludf.DUMMYFUNCTION("""COMPUTED_VALUE"""),44421.0)</f>
        <v>44421</v>
      </c>
      <c r="K156" s="57"/>
    </row>
    <row r="157">
      <c r="B157" s="57"/>
      <c r="C157" s="57" t="str">
        <f>IFERROR(__xludf.DUMMYFUNCTION("""COMPUTED_VALUE"""),"DIC Corp")</f>
        <v>DIC Corp</v>
      </c>
      <c r="D157" s="57" t="str">
        <f>IFERROR(__xludf.DUMMYFUNCTION("""COMPUTED_VALUE"""),"3.050,0")</f>
        <v>3.050,0</v>
      </c>
      <c r="E157" s="57" t="str">
        <f>IFERROR(__xludf.DUMMYFUNCTION("""COMPUTED_VALUE"""),"3.050,0")</f>
        <v>3.050,0</v>
      </c>
      <c r="F157" s="57" t="str">
        <f>IFERROR(__xludf.DUMMYFUNCTION("""COMPUTED_VALUE"""),"3.000,0")</f>
        <v>3.000,0</v>
      </c>
      <c r="G157" s="57" t="str">
        <f>IFERROR(__xludf.DUMMYFUNCTION("""COMPUTED_VALUE"""),"+35,0")</f>
        <v>+35,0</v>
      </c>
      <c r="H157" s="57" t="str">
        <f>IFERROR(__xludf.DUMMYFUNCTION("""COMPUTED_VALUE"""),"+1,16%")</f>
        <v>+1,16%</v>
      </c>
      <c r="I157" s="57" t="str">
        <f>IFERROR(__xludf.DUMMYFUNCTION("""COMPUTED_VALUE"""),"223,60K")</f>
        <v>223,60K</v>
      </c>
      <c r="J157" s="59">
        <f>IFERROR(__xludf.DUMMYFUNCTION("""COMPUTED_VALUE"""),44421.0)</f>
        <v>44421</v>
      </c>
      <c r="K157" s="57"/>
    </row>
    <row r="158">
      <c r="B158" s="57"/>
      <c r="C158" s="57" t="str">
        <f>IFERROR(__xludf.DUMMYFUNCTION("""COMPUTED_VALUE"""),"DOWA Holdings")</f>
        <v>DOWA Holdings</v>
      </c>
      <c r="D158" s="57" t="str">
        <f>IFERROR(__xludf.DUMMYFUNCTION("""COMPUTED_VALUE"""),"4.895,0")</f>
        <v>4.895,0</v>
      </c>
      <c r="E158" s="57" t="str">
        <f>IFERROR(__xludf.DUMMYFUNCTION("""COMPUTED_VALUE"""),"4.945,0")</f>
        <v>4.945,0</v>
      </c>
      <c r="F158" s="57" t="str">
        <f>IFERROR(__xludf.DUMMYFUNCTION("""COMPUTED_VALUE"""),"4.840,0")</f>
        <v>4.840,0</v>
      </c>
      <c r="G158" s="57" t="str">
        <f>IFERROR(__xludf.DUMMYFUNCTION("""COMPUTED_VALUE"""),"+45,0")</f>
        <v>+45,0</v>
      </c>
      <c r="H158" s="57" t="str">
        <f>IFERROR(__xludf.DUMMYFUNCTION("""COMPUTED_VALUE"""),"+0,93%")</f>
        <v>+0,93%</v>
      </c>
      <c r="I158" s="57" t="str">
        <f>IFERROR(__xludf.DUMMYFUNCTION("""COMPUTED_VALUE"""),"289,90K")</f>
        <v>289,90K</v>
      </c>
      <c r="J158" s="59">
        <f>IFERROR(__xludf.DUMMYFUNCTION("""COMPUTED_VALUE"""),44421.0)</f>
        <v>44421</v>
      </c>
      <c r="K158" s="57"/>
    </row>
    <row r="159">
      <c r="B159" s="57"/>
      <c r="C159" s="57" t="str">
        <f>IFERROR(__xludf.DUMMYFUNCTION("""COMPUTED_VALUE"""),"East Japan Railway Co.")</f>
        <v>East Japan Railway Co.</v>
      </c>
      <c r="D159" s="57" t="str">
        <f>IFERROR(__xludf.DUMMYFUNCTION("""COMPUTED_VALUE"""),"7.262,0")</f>
        <v>7.262,0</v>
      </c>
      <c r="E159" s="57" t="str">
        <f>IFERROR(__xludf.DUMMYFUNCTION("""COMPUTED_VALUE"""),"7.347,0")</f>
        <v>7.347,0</v>
      </c>
      <c r="F159" s="57" t="str">
        <f>IFERROR(__xludf.DUMMYFUNCTION("""COMPUTED_VALUE"""),"7.228,0")</f>
        <v>7.228,0</v>
      </c>
      <c r="G159" s="57">
        <f>IFERROR(__xludf.DUMMYFUNCTION("""COMPUTED_VALUE"""),-83.0)</f>
        <v>-83</v>
      </c>
      <c r="H159" s="32">
        <f>IFERROR(__xludf.DUMMYFUNCTION("""COMPUTED_VALUE"""),-0.0113)</f>
        <v>-0.0113</v>
      </c>
      <c r="I159" s="57" t="str">
        <f>IFERROR(__xludf.DUMMYFUNCTION("""COMPUTED_VALUE"""),"1,05M")</f>
        <v>1,05M</v>
      </c>
      <c r="J159" s="59">
        <f>IFERROR(__xludf.DUMMYFUNCTION("""COMPUTED_VALUE"""),44421.0)</f>
        <v>44421</v>
      </c>
      <c r="K159" s="57"/>
    </row>
    <row r="160">
      <c r="B160" s="57"/>
      <c r="C160" s="57" t="str">
        <f>IFERROR(__xludf.DUMMYFUNCTION("""COMPUTED_VALUE"""),"Ebara Corp.")</f>
        <v>Ebara Corp.</v>
      </c>
      <c r="D160" s="57" t="str">
        <f>IFERROR(__xludf.DUMMYFUNCTION("""COMPUTED_VALUE"""),"5.560,0")</f>
        <v>5.560,0</v>
      </c>
      <c r="E160" s="57" t="str">
        <f>IFERROR(__xludf.DUMMYFUNCTION("""COMPUTED_VALUE"""),"5.630,0")</f>
        <v>5.630,0</v>
      </c>
      <c r="F160" s="57" t="str">
        <f>IFERROR(__xludf.DUMMYFUNCTION("""COMPUTED_VALUE"""),"5.540,0")</f>
        <v>5.540,0</v>
      </c>
      <c r="G160" s="57">
        <f>IFERROR(__xludf.DUMMYFUNCTION("""COMPUTED_VALUE"""),-60.0)</f>
        <v>-60</v>
      </c>
      <c r="H160" s="32">
        <f>IFERROR(__xludf.DUMMYFUNCTION("""COMPUTED_VALUE"""),-0.0107)</f>
        <v>-0.0107</v>
      </c>
      <c r="I160" s="57" t="str">
        <f>IFERROR(__xludf.DUMMYFUNCTION("""COMPUTED_VALUE"""),"500,20K")</f>
        <v>500,20K</v>
      </c>
      <c r="J160" s="59">
        <f>IFERROR(__xludf.DUMMYFUNCTION("""COMPUTED_VALUE"""),44421.0)</f>
        <v>44421</v>
      </c>
      <c r="K160" s="57"/>
    </row>
    <row r="161">
      <c r="B161" s="57"/>
      <c r="C161" s="57" t="str">
        <f>IFERROR(__xludf.DUMMYFUNCTION("""COMPUTED_VALUE"""),"Eisai")</f>
        <v>Eisai</v>
      </c>
      <c r="D161" s="57" t="str">
        <f>IFERROR(__xludf.DUMMYFUNCTION("""COMPUTED_VALUE"""),"9.179,0")</f>
        <v>9.179,0</v>
      </c>
      <c r="E161" s="57" t="str">
        <f>IFERROR(__xludf.DUMMYFUNCTION("""COMPUTED_VALUE"""),"9.307,0")</f>
        <v>9.307,0</v>
      </c>
      <c r="F161" s="57" t="str">
        <f>IFERROR(__xludf.DUMMYFUNCTION("""COMPUTED_VALUE"""),"9.162,0")</f>
        <v>9.162,0</v>
      </c>
      <c r="G161" s="57">
        <f>IFERROR(__xludf.DUMMYFUNCTION("""COMPUTED_VALUE"""),-66.0)</f>
        <v>-66</v>
      </c>
      <c r="H161" s="32">
        <f>IFERROR(__xludf.DUMMYFUNCTION("""COMPUTED_VALUE"""),-0.0071)</f>
        <v>-0.0071</v>
      </c>
      <c r="I161" s="57" t="str">
        <f>IFERROR(__xludf.DUMMYFUNCTION("""COMPUTED_VALUE"""),"1,08M")</f>
        <v>1,08M</v>
      </c>
      <c r="J161" s="59">
        <f>IFERROR(__xludf.DUMMYFUNCTION("""COMPUTED_VALUE"""),44421.0)</f>
        <v>44421</v>
      </c>
      <c r="K161" s="57"/>
    </row>
    <row r="162">
      <c r="B162" s="57"/>
      <c r="C162" s="57" t="str">
        <f>IFERROR(__xludf.DUMMYFUNCTION("""COMPUTED_VALUE"""),"Eneos Holdings")</f>
        <v>Eneos Holdings</v>
      </c>
      <c r="D162" s="57">
        <f>IFERROR(__xludf.DUMMYFUNCTION("""COMPUTED_VALUE"""),457.5)</f>
        <v>457.5</v>
      </c>
      <c r="E162" s="57">
        <f>IFERROR(__xludf.DUMMYFUNCTION("""COMPUTED_VALUE"""),481.5)</f>
        <v>481.5</v>
      </c>
      <c r="F162" s="57">
        <f>IFERROR(__xludf.DUMMYFUNCTION("""COMPUTED_VALUE"""),456.0)</f>
        <v>456</v>
      </c>
      <c r="G162" s="57">
        <f>IFERROR(__xludf.DUMMYFUNCTION("""COMPUTED_VALUE"""),-18.1)</f>
        <v>-18.1</v>
      </c>
      <c r="H162" s="32">
        <f>IFERROR(__xludf.DUMMYFUNCTION("""COMPUTED_VALUE"""),-0.0381)</f>
        <v>-0.0381</v>
      </c>
      <c r="I162" s="57" t="str">
        <f>IFERROR(__xludf.DUMMYFUNCTION("""COMPUTED_VALUE"""),"48,56M")</f>
        <v>48,56M</v>
      </c>
      <c r="J162" s="59">
        <f>IFERROR(__xludf.DUMMYFUNCTION("""COMPUTED_VALUE"""),44421.0)</f>
        <v>44421</v>
      </c>
      <c r="K162" s="57"/>
    </row>
    <row r="163">
      <c r="B163" s="57"/>
      <c r="C163" s="57" t="str">
        <f>IFERROR(__xludf.DUMMYFUNCTION("""COMPUTED_VALUE"""),"Fanuc Corp.")</f>
        <v>Fanuc Corp.</v>
      </c>
      <c r="D163" s="57" t="str">
        <f>IFERROR(__xludf.DUMMYFUNCTION("""COMPUTED_VALUE"""),"24.450,0")</f>
        <v>24.450,0</v>
      </c>
      <c r="E163" s="57" t="str">
        <f>IFERROR(__xludf.DUMMYFUNCTION("""COMPUTED_VALUE"""),"24.800,0")</f>
        <v>24.800,0</v>
      </c>
      <c r="F163" s="57" t="str">
        <f>IFERROR(__xludf.DUMMYFUNCTION("""COMPUTED_VALUE"""),"24.340,0")</f>
        <v>24.340,0</v>
      </c>
      <c r="G163" s="57">
        <f>IFERROR(__xludf.DUMMYFUNCTION("""COMPUTED_VALUE"""),-420.0)</f>
        <v>-420</v>
      </c>
      <c r="H163" s="32">
        <f>IFERROR(__xludf.DUMMYFUNCTION("""COMPUTED_VALUE"""),-0.0169)</f>
        <v>-0.0169</v>
      </c>
      <c r="I163" s="57" t="str">
        <f>IFERROR(__xludf.DUMMYFUNCTION("""COMPUTED_VALUE"""),"946,50K")</f>
        <v>946,50K</v>
      </c>
      <c r="J163" s="59">
        <f>IFERROR(__xludf.DUMMYFUNCTION("""COMPUTED_VALUE"""),44421.0)</f>
        <v>44421</v>
      </c>
      <c r="K163" s="57"/>
    </row>
    <row r="164">
      <c r="B164" s="57"/>
      <c r="C164" s="57" t="str">
        <f>IFERROR(__xludf.DUMMYFUNCTION("""COMPUTED_VALUE"""),"Fast Retailing")</f>
        <v>Fast Retailing</v>
      </c>
      <c r="D164" s="57" t="str">
        <f>IFERROR(__xludf.DUMMYFUNCTION("""COMPUTED_VALUE"""),"75.430,0")</f>
        <v>75.430,0</v>
      </c>
      <c r="E164" s="57" t="str">
        <f>IFERROR(__xludf.DUMMYFUNCTION("""COMPUTED_VALUE"""),"75.800,0")</f>
        <v>75.800,0</v>
      </c>
      <c r="F164" s="57" t="str">
        <f>IFERROR(__xludf.DUMMYFUNCTION("""COMPUTED_VALUE"""),"74.920,0")</f>
        <v>74.920,0</v>
      </c>
      <c r="G164" s="57" t="str">
        <f>IFERROR(__xludf.DUMMYFUNCTION("""COMPUTED_VALUE"""),"+40,0")</f>
        <v>+40,0</v>
      </c>
      <c r="H164" s="57" t="str">
        <f>IFERROR(__xludf.DUMMYFUNCTION("""COMPUTED_VALUE"""),"+0,05%")</f>
        <v>+0,05%</v>
      </c>
      <c r="I164" s="57" t="str">
        <f>IFERROR(__xludf.DUMMYFUNCTION("""COMPUTED_VALUE"""),"508,10K")</f>
        <v>508,10K</v>
      </c>
      <c r="J164" s="59">
        <f>IFERROR(__xludf.DUMMYFUNCTION("""COMPUTED_VALUE"""),44421.0)</f>
        <v>44421</v>
      </c>
      <c r="K164" s="57"/>
    </row>
    <row r="165">
      <c r="B165" s="57"/>
      <c r="C165" s="57" t="str">
        <f>IFERROR(__xludf.DUMMYFUNCTION("""COMPUTED_VALUE"""),"Fuji Electric")</f>
        <v>Fuji Electric</v>
      </c>
      <c r="D165" s="57" t="str">
        <f>IFERROR(__xludf.DUMMYFUNCTION("""COMPUTED_VALUE"""),"4.820,0")</f>
        <v>4.820,0</v>
      </c>
      <c r="E165" s="57" t="str">
        <f>IFERROR(__xludf.DUMMYFUNCTION("""COMPUTED_VALUE"""),"4.880,0")</f>
        <v>4.880,0</v>
      </c>
      <c r="F165" s="57" t="str">
        <f>IFERROR(__xludf.DUMMYFUNCTION("""COMPUTED_VALUE"""),"4.815,0")</f>
        <v>4.815,0</v>
      </c>
      <c r="G165" s="57">
        <f>IFERROR(__xludf.DUMMYFUNCTION("""COMPUTED_VALUE"""),-60.0)</f>
        <v>-60</v>
      </c>
      <c r="H165" s="32">
        <f>IFERROR(__xludf.DUMMYFUNCTION("""COMPUTED_VALUE"""),-0.0123)</f>
        <v>-0.0123</v>
      </c>
      <c r="I165" s="57" t="str">
        <f>IFERROR(__xludf.DUMMYFUNCTION("""COMPUTED_VALUE"""),"413,00K")</f>
        <v>413,00K</v>
      </c>
      <c r="J165" s="59">
        <f>IFERROR(__xludf.DUMMYFUNCTION("""COMPUTED_VALUE"""),44421.0)</f>
        <v>44421</v>
      </c>
      <c r="K165" s="57"/>
    </row>
    <row r="166">
      <c r="B166" s="57"/>
      <c r="C166" s="57" t="str">
        <f>IFERROR(__xludf.DUMMYFUNCTION("""COMPUTED_VALUE"""),"Fujifilm Holdings Corp.")</f>
        <v>Fujifilm Holdings Corp.</v>
      </c>
      <c r="D166" s="57" t="str">
        <f>IFERROR(__xludf.DUMMYFUNCTION("""COMPUTED_VALUE"""),"7.976,0")</f>
        <v>7.976,0</v>
      </c>
      <c r="E166" s="57" t="str">
        <f>IFERROR(__xludf.DUMMYFUNCTION("""COMPUTED_VALUE"""),"8.019,0")</f>
        <v>8.019,0</v>
      </c>
      <c r="F166" s="57" t="str">
        <f>IFERROR(__xludf.DUMMYFUNCTION("""COMPUTED_VALUE"""),"7.931,0")</f>
        <v>7.931,0</v>
      </c>
      <c r="G166" s="57" t="str">
        <f>IFERROR(__xludf.DUMMYFUNCTION("""COMPUTED_VALUE"""),"+33,0")</f>
        <v>+33,0</v>
      </c>
      <c r="H166" s="57" t="str">
        <f>IFERROR(__xludf.DUMMYFUNCTION("""COMPUTED_VALUE"""),"+0,42%")</f>
        <v>+0,42%</v>
      </c>
      <c r="I166" s="57" t="str">
        <f>IFERROR(__xludf.DUMMYFUNCTION("""COMPUTED_VALUE"""),"1,20M")</f>
        <v>1,20M</v>
      </c>
      <c r="J166" s="59">
        <f>IFERROR(__xludf.DUMMYFUNCTION("""COMPUTED_VALUE"""),44421.0)</f>
        <v>44421</v>
      </c>
      <c r="K166" s="57"/>
    </row>
    <row r="167">
      <c r="B167" s="57"/>
      <c r="C167" s="57" t="str">
        <f>IFERROR(__xludf.DUMMYFUNCTION("""COMPUTED_VALUE"""),"Fujikura")</f>
        <v>Fujikura</v>
      </c>
      <c r="D167" s="57">
        <f>IFERROR(__xludf.DUMMYFUNCTION("""COMPUTED_VALUE"""),620.0)</f>
        <v>620</v>
      </c>
      <c r="E167" s="57">
        <f>IFERROR(__xludf.DUMMYFUNCTION("""COMPUTED_VALUE"""),634.0)</f>
        <v>634</v>
      </c>
      <c r="F167" s="57">
        <f>IFERROR(__xludf.DUMMYFUNCTION("""COMPUTED_VALUE"""),618.0)</f>
        <v>618</v>
      </c>
      <c r="G167" s="57">
        <f>IFERROR(__xludf.DUMMYFUNCTION("""COMPUTED_VALUE"""),-23.0)</f>
        <v>-23</v>
      </c>
      <c r="H167" s="32">
        <f>IFERROR(__xludf.DUMMYFUNCTION("""COMPUTED_VALUE"""),-0.0358)</f>
        <v>-0.0358</v>
      </c>
      <c r="I167" s="57" t="str">
        <f>IFERROR(__xludf.DUMMYFUNCTION("""COMPUTED_VALUE"""),"2,94M")</f>
        <v>2,94M</v>
      </c>
      <c r="J167" s="59">
        <f>IFERROR(__xludf.DUMMYFUNCTION("""COMPUTED_VALUE"""),44421.0)</f>
        <v>44421</v>
      </c>
      <c r="K167" s="57"/>
    </row>
    <row r="168">
      <c r="B168" s="57"/>
      <c r="C168" s="57" t="str">
        <f>IFERROR(__xludf.DUMMYFUNCTION("""COMPUTED_VALUE"""),"Fujitsu")</f>
        <v>Fujitsu</v>
      </c>
      <c r="D168" s="57" t="str">
        <f>IFERROR(__xludf.DUMMYFUNCTION("""COMPUTED_VALUE"""),"19.380,0")</f>
        <v>19.380,0</v>
      </c>
      <c r="E168" s="57" t="str">
        <f>IFERROR(__xludf.DUMMYFUNCTION("""COMPUTED_VALUE"""),"19.405,0")</f>
        <v>19.405,0</v>
      </c>
      <c r="F168" s="57" t="str">
        <f>IFERROR(__xludf.DUMMYFUNCTION("""COMPUTED_VALUE"""),"19.065,0")</f>
        <v>19.065,0</v>
      </c>
      <c r="G168" s="57">
        <f>IFERROR(__xludf.DUMMYFUNCTION("""COMPUTED_VALUE"""),-15.0)</f>
        <v>-15</v>
      </c>
      <c r="H168" s="32">
        <f>IFERROR(__xludf.DUMMYFUNCTION("""COMPUTED_VALUE"""),-8.0E-4)</f>
        <v>-0.0008</v>
      </c>
      <c r="I168" s="57" t="str">
        <f>IFERROR(__xludf.DUMMYFUNCTION("""COMPUTED_VALUE"""),"348,20K")</f>
        <v>348,20K</v>
      </c>
      <c r="J168" s="59">
        <f>IFERROR(__xludf.DUMMYFUNCTION("""COMPUTED_VALUE"""),44421.0)</f>
        <v>44421</v>
      </c>
      <c r="K168" s="57"/>
    </row>
    <row r="169">
      <c r="B169" s="57"/>
      <c r="C169" s="57" t="str">
        <f>IFERROR(__xludf.DUMMYFUNCTION("""COMPUTED_VALUE"""),"Fukuoka Financial Group, Inc.")</f>
        <v>Fukuoka Financial Group, Inc.</v>
      </c>
      <c r="D169" s="57" t="str">
        <f>IFERROR(__xludf.DUMMYFUNCTION("""COMPUTED_VALUE"""),"2.077,0")</f>
        <v>2.077,0</v>
      </c>
      <c r="E169" s="57" t="str">
        <f>IFERROR(__xludf.DUMMYFUNCTION("""COMPUTED_VALUE"""),"2.112,0")</f>
        <v>2.112,0</v>
      </c>
      <c r="F169" s="57" t="str">
        <f>IFERROR(__xludf.DUMMYFUNCTION("""COMPUTED_VALUE"""),"2.072,0")</f>
        <v>2.072,0</v>
      </c>
      <c r="G169" s="57">
        <f>IFERROR(__xludf.DUMMYFUNCTION("""COMPUTED_VALUE"""),-10.0)</f>
        <v>-10</v>
      </c>
      <c r="H169" s="32">
        <f>IFERROR(__xludf.DUMMYFUNCTION("""COMPUTED_VALUE"""),-0.0048)</f>
        <v>-0.0048</v>
      </c>
      <c r="I169" s="57" t="str">
        <f>IFERROR(__xludf.DUMMYFUNCTION("""COMPUTED_VALUE"""),"579,90K")</f>
        <v>579,90K</v>
      </c>
      <c r="J169" s="59">
        <f>IFERROR(__xludf.DUMMYFUNCTION("""COMPUTED_VALUE"""),44421.0)</f>
        <v>44421</v>
      </c>
      <c r="K169" s="57"/>
    </row>
    <row r="170">
      <c r="B170" s="57"/>
      <c r="C170" s="57" t="str">
        <f>IFERROR(__xludf.DUMMYFUNCTION("""COMPUTED_VALUE"""),"Furukawa Electric")</f>
        <v>Furukawa Electric</v>
      </c>
      <c r="D170" s="57" t="str">
        <f>IFERROR(__xludf.DUMMYFUNCTION("""COMPUTED_VALUE"""),"2.532,0")</f>
        <v>2.532,0</v>
      </c>
      <c r="E170" s="57" t="str">
        <f>IFERROR(__xludf.DUMMYFUNCTION("""COMPUTED_VALUE"""),"2.535,0")</f>
        <v>2.535,0</v>
      </c>
      <c r="F170" s="57" t="str">
        <f>IFERROR(__xludf.DUMMYFUNCTION("""COMPUTED_VALUE"""),"2.508,0")</f>
        <v>2.508,0</v>
      </c>
      <c r="G170" s="57">
        <f>IFERROR(__xludf.DUMMYFUNCTION("""COMPUTED_VALUE"""),-17.0)</f>
        <v>-17</v>
      </c>
      <c r="H170" s="32">
        <f>IFERROR(__xludf.DUMMYFUNCTION("""COMPUTED_VALUE"""),-0.0067)</f>
        <v>-0.0067</v>
      </c>
      <c r="I170" s="57" t="str">
        <f>IFERROR(__xludf.DUMMYFUNCTION("""COMPUTED_VALUE"""),"532,40K")</f>
        <v>532,40K</v>
      </c>
      <c r="J170" s="59">
        <f>IFERROR(__xludf.DUMMYFUNCTION("""COMPUTED_VALUE"""),44421.0)</f>
        <v>44421</v>
      </c>
      <c r="K170" s="57"/>
    </row>
    <row r="171">
      <c r="B171" s="57"/>
      <c r="C171" s="57" t="str">
        <f>IFERROR(__xludf.DUMMYFUNCTION("""COMPUTED_VALUE"""),"GS Yuasa Corp.")</f>
        <v>GS Yuasa Corp.</v>
      </c>
      <c r="D171" s="57" t="str">
        <f>IFERROR(__xludf.DUMMYFUNCTION("""COMPUTED_VALUE"""),"2.637,0")</f>
        <v>2.637,0</v>
      </c>
      <c r="E171" s="57" t="str">
        <f>IFERROR(__xludf.DUMMYFUNCTION("""COMPUTED_VALUE"""),"2.664,0")</f>
        <v>2.664,0</v>
      </c>
      <c r="F171" s="57" t="str">
        <f>IFERROR(__xludf.DUMMYFUNCTION("""COMPUTED_VALUE"""),"2.633,0")</f>
        <v>2.633,0</v>
      </c>
      <c r="G171" s="57">
        <f>IFERROR(__xludf.DUMMYFUNCTION("""COMPUTED_VALUE"""),-11.0)</f>
        <v>-11</v>
      </c>
      <c r="H171" s="32">
        <f>IFERROR(__xludf.DUMMYFUNCTION("""COMPUTED_VALUE"""),-0.0042)</f>
        <v>-0.0042</v>
      </c>
      <c r="I171" s="57" t="str">
        <f>IFERROR(__xludf.DUMMYFUNCTION("""COMPUTED_VALUE"""),"260,70K")</f>
        <v>260,70K</v>
      </c>
      <c r="J171" s="59">
        <f>IFERROR(__xludf.DUMMYFUNCTION("""COMPUTED_VALUE"""),44421.0)</f>
        <v>44421</v>
      </c>
      <c r="K171" s="57"/>
    </row>
    <row r="172">
      <c r="B172" s="57"/>
      <c r="C172" s="57" t="str">
        <f>IFERROR(__xludf.DUMMYFUNCTION("""COMPUTED_VALUE"""),"Haseko")</f>
        <v>Haseko</v>
      </c>
      <c r="D172" s="57" t="str">
        <f>IFERROR(__xludf.DUMMYFUNCTION("""COMPUTED_VALUE"""),"1.536,0")</f>
        <v>1.536,0</v>
      </c>
      <c r="E172" s="57" t="str">
        <f>IFERROR(__xludf.DUMMYFUNCTION("""COMPUTED_VALUE"""),"1.557,0")</f>
        <v>1.557,0</v>
      </c>
      <c r="F172" s="57" t="str">
        <f>IFERROR(__xludf.DUMMYFUNCTION("""COMPUTED_VALUE"""),"1.536,0")</f>
        <v>1.536,0</v>
      </c>
      <c r="G172" s="57">
        <f>IFERROR(__xludf.DUMMYFUNCTION("""COMPUTED_VALUE"""),-15.0)</f>
        <v>-15</v>
      </c>
      <c r="H172" s="32">
        <f>IFERROR(__xludf.DUMMYFUNCTION("""COMPUTED_VALUE"""),-0.0097)</f>
        <v>-0.0097</v>
      </c>
      <c r="I172" s="57" t="str">
        <f>IFERROR(__xludf.DUMMYFUNCTION("""COMPUTED_VALUE"""),"655,30K")</f>
        <v>655,30K</v>
      </c>
      <c r="J172" s="59">
        <f>IFERROR(__xludf.DUMMYFUNCTION("""COMPUTED_VALUE"""),44421.0)</f>
        <v>44421</v>
      </c>
      <c r="K172" s="57"/>
    </row>
    <row r="173">
      <c r="B173" s="57"/>
      <c r="C173" s="57" t="str">
        <f>IFERROR(__xludf.DUMMYFUNCTION("""COMPUTED_VALUE"""),"Hino Motors")</f>
        <v>Hino Motors</v>
      </c>
      <c r="D173" s="57">
        <f>IFERROR(__xludf.DUMMYFUNCTION("""COMPUTED_VALUE"""),953.0)</f>
        <v>953</v>
      </c>
      <c r="E173" s="57">
        <f>IFERROR(__xludf.DUMMYFUNCTION("""COMPUTED_VALUE"""),958.0)</f>
        <v>958</v>
      </c>
      <c r="F173" s="57">
        <f>IFERROR(__xludf.DUMMYFUNCTION("""COMPUTED_VALUE"""),943.0)</f>
        <v>943</v>
      </c>
      <c r="G173" s="57">
        <f>IFERROR(__xludf.DUMMYFUNCTION("""COMPUTED_VALUE"""),-1.0)</f>
        <v>-1</v>
      </c>
      <c r="H173" s="32">
        <f>IFERROR(__xludf.DUMMYFUNCTION("""COMPUTED_VALUE"""),-0.001)</f>
        <v>-0.001</v>
      </c>
      <c r="I173" s="57" t="str">
        <f>IFERROR(__xludf.DUMMYFUNCTION("""COMPUTED_VALUE"""),"851,30K")</f>
        <v>851,30K</v>
      </c>
      <c r="J173" s="59">
        <f>IFERROR(__xludf.DUMMYFUNCTION("""COMPUTED_VALUE"""),44421.0)</f>
        <v>44421</v>
      </c>
      <c r="K173" s="57"/>
    </row>
    <row r="174">
      <c r="B174" s="57"/>
      <c r="C174" s="57" t="str">
        <f>IFERROR(__xludf.DUMMYFUNCTION("""COMPUTED_VALUE"""),"Hitachi")</f>
        <v>Hitachi</v>
      </c>
      <c r="D174" s="57" t="str">
        <f>IFERROR(__xludf.DUMMYFUNCTION("""COMPUTED_VALUE"""),"6.310,0")</f>
        <v>6.310,0</v>
      </c>
      <c r="E174" s="57" t="str">
        <f>IFERROR(__xludf.DUMMYFUNCTION("""COMPUTED_VALUE"""),"6.336,0")</f>
        <v>6.336,0</v>
      </c>
      <c r="F174" s="57" t="str">
        <f>IFERROR(__xludf.DUMMYFUNCTION("""COMPUTED_VALUE"""),"6.219,0")</f>
        <v>6.219,0</v>
      </c>
      <c r="G174" s="57" t="str">
        <f>IFERROR(__xludf.DUMMYFUNCTION("""COMPUTED_VALUE"""),"+30,0")</f>
        <v>+30,0</v>
      </c>
      <c r="H174" s="57" t="str">
        <f>IFERROR(__xludf.DUMMYFUNCTION("""COMPUTED_VALUE"""),"+0,48%")</f>
        <v>+0,48%</v>
      </c>
      <c r="I174" s="57" t="str">
        <f>IFERROR(__xludf.DUMMYFUNCTION("""COMPUTED_VALUE"""),"1,74M")</f>
        <v>1,74M</v>
      </c>
      <c r="J174" s="59">
        <f>IFERROR(__xludf.DUMMYFUNCTION("""COMPUTED_VALUE"""),44421.0)</f>
        <v>44421</v>
      </c>
      <c r="K174" s="57"/>
    </row>
    <row r="175">
      <c r="B175" s="57"/>
      <c r="C175" s="57" t="str">
        <f>IFERROR(__xludf.DUMMYFUNCTION("""COMPUTED_VALUE"""),"Hitachi Construction Machinery Co")</f>
        <v>Hitachi Construction Machinery Co</v>
      </c>
      <c r="D175" s="57" t="str">
        <f>IFERROR(__xludf.DUMMYFUNCTION("""COMPUTED_VALUE"""),"3.140,0")</f>
        <v>3.140,0</v>
      </c>
      <c r="E175" s="57" t="str">
        <f>IFERROR(__xludf.DUMMYFUNCTION("""COMPUTED_VALUE"""),"3.220,0")</f>
        <v>3.220,0</v>
      </c>
      <c r="F175" s="57" t="str">
        <f>IFERROR(__xludf.DUMMYFUNCTION("""COMPUTED_VALUE"""),"3.130,0")</f>
        <v>3.130,0</v>
      </c>
      <c r="G175" s="57">
        <f>IFERROR(__xludf.DUMMYFUNCTION("""COMPUTED_VALUE"""),-45.0)</f>
        <v>-45</v>
      </c>
      <c r="H175" s="32">
        <f>IFERROR(__xludf.DUMMYFUNCTION("""COMPUTED_VALUE"""),-0.0141)</f>
        <v>-0.0141</v>
      </c>
      <c r="I175" s="57" t="str">
        <f>IFERROR(__xludf.DUMMYFUNCTION("""COMPUTED_VALUE"""),"525,40K")</f>
        <v>525,40K</v>
      </c>
      <c r="J175" s="59">
        <f>IFERROR(__xludf.DUMMYFUNCTION("""COMPUTED_VALUE"""),44421.0)</f>
        <v>44421</v>
      </c>
      <c r="K175" s="57"/>
    </row>
    <row r="176">
      <c r="B176" s="57"/>
      <c r="C176" s="57" t="str">
        <f>IFERROR(__xludf.DUMMYFUNCTION("""COMPUTED_VALUE"""),"Hitachi Zosen Corp.")</f>
        <v>Hitachi Zosen Corp.</v>
      </c>
      <c r="D176" s="57">
        <f>IFERROR(__xludf.DUMMYFUNCTION("""COMPUTED_VALUE"""),826.0)</f>
        <v>826</v>
      </c>
      <c r="E176" s="57">
        <f>IFERROR(__xludf.DUMMYFUNCTION("""COMPUTED_VALUE"""),842.0)</f>
        <v>842</v>
      </c>
      <c r="F176" s="57">
        <f>IFERROR(__xludf.DUMMYFUNCTION("""COMPUTED_VALUE"""),826.0)</f>
        <v>826</v>
      </c>
      <c r="G176" s="57">
        <f>IFERROR(__xludf.DUMMYFUNCTION("""COMPUTED_VALUE"""),-1.0)</f>
        <v>-1</v>
      </c>
      <c r="H176" s="32">
        <f>IFERROR(__xludf.DUMMYFUNCTION("""COMPUTED_VALUE"""),-0.0012)</f>
        <v>-0.0012</v>
      </c>
      <c r="I176" s="57" t="str">
        <f>IFERROR(__xludf.DUMMYFUNCTION("""COMPUTED_VALUE"""),"1,47M")</f>
        <v>1,47M</v>
      </c>
      <c r="J176" s="59">
        <f>IFERROR(__xludf.DUMMYFUNCTION("""COMPUTED_VALUE"""),44421.0)</f>
        <v>44421</v>
      </c>
      <c r="K176" s="57"/>
    </row>
    <row r="177">
      <c r="B177" s="57"/>
      <c r="C177" s="57" t="str">
        <f>IFERROR(__xludf.DUMMYFUNCTION("""COMPUTED_VALUE"""),"Honda Motor")</f>
        <v>Honda Motor</v>
      </c>
      <c r="D177" s="57" t="str">
        <f>IFERROR(__xludf.DUMMYFUNCTION("""COMPUTED_VALUE"""),"3.574,0")</f>
        <v>3.574,0</v>
      </c>
      <c r="E177" s="57" t="str">
        <f>IFERROR(__xludf.DUMMYFUNCTION("""COMPUTED_VALUE"""),"3.611,0")</f>
        <v>3.611,0</v>
      </c>
      <c r="F177" s="57" t="str">
        <f>IFERROR(__xludf.DUMMYFUNCTION("""COMPUTED_VALUE"""),"3.572,0")</f>
        <v>3.572,0</v>
      </c>
      <c r="G177" s="57">
        <f>IFERROR(__xludf.DUMMYFUNCTION("""COMPUTED_VALUE"""),-26.0)</f>
        <v>-26</v>
      </c>
      <c r="H177" s="32">
        <f>IFERROR(__xludf.DUMMYFUNCTION("""COMPUTED_VALUE"""),-0.0072)</f>
        <v>-0.0072</v>
      </c>
      <c r="I177" s="57" t="str">
        <f>IFERROR(__xludf.DUMMYFUNCTION("""COMPUTED_VALUE"""),"2,16M")</f>
        <v>2,16M</v>
      </c>
      <c r="J177" s="59">
        <f>IFERROR(__xludf.DUMMYFUNCTION("""COMPUTED_VALUE"""),44421.0)</f>
        <v>44421</v>
      </c>
      <c r="K177" s="57"/>
    </row>
    <row r="178">
      <c r="B178" s="57"/>
      <c r="C178" s="57" t="str">
        <f>IFERROR(__xludf.DUMMYFUNCTION("""COMPUTED_VALUE"""),"Idemitsu Kosan Co Ltd")</f>
        <v>Idemitsu Kosan Co Ltd</v>
      </c>
      <c r="D178" s="57" t="str">
        <f>IFERROR(__xludf.DUMMYFUNCTION("""COMPUTED_VALUE"""),"2.623,0")</f>
        <v>2.623,0</v>
      </c>
      <c r="E178" s="57" t="str">
        <f>IFERROR(__xludf.DUMMYFUNCTION("""COMPUTED_VALUE"""),"2.665,0")</f>
        <v>2.665,0</v>
      </c>
      <c r="F178" s="57" t="str">
        <f>IFERROR(__xludf.DUMMYFUNCTION("""COMPUTED_VALUE"""),"2.623,0")</f>
        <v>2.623,0</v>
      </c>
      <c r="G178" s="57">
        <f>IFERROR(__xludf.DUMMYFUNCTION("""COMPUTED_VALUE"""),-33.0)</f>
        <v>-33</v>
      </c>
      <c r="H178" s="32">
        <f>IFERROR(__xludf.DUMMYFUNCTION("""COMPUTED_VALUE"""),-0.0124)</f>
        <v>-0.0124</v>
      </c>
      <c r="I178" s="57" t="str">
        <f>IFERROR(__xludf.DUMMYFUNCTION("""COMPUTED_VALUE"""),"820,30K")</f>
        <v>820,30K</v>
      </c>
      <c r="J178" s="59">
        <f>IFERROR(__xludf.DUMMYFUNCTION("""COMPUTED_VALUE"""),44421.0)</f>
        <v>44421</v>
      </c>
      <c r="K178" s="57"/>
    </row>
    <row r="179">
      <c r="B179" s="57"/>
      <c r="C179" s="57" t="str">
        <f>IFERROR(__xludf.DUMMYFUNCTION("""COMPUTED_VALUE"""),"IHI Corp.")</f>
        <v>IHI Corp.</v>
      </c>
      <c r="D179" s="57" t="str">
        <f>IFERROR(__xludf.DUMMYFUNCTION("""COMPUTED_VALUE"""),"2.631,0")</f>
        <v>2.631,0</v>
      </c>
      <c r="E179" s="57" t="str">
        <f>IFERROR(__xludf.DUMMYFUNCTION("""COMPUTED_VALUE"""),"2.693,0")</f>
        <v>2.693,0</v>
      </c>
      <c r="F179" s="57" t="str">
        <f>IFERROR(__xludf.DUMMYFUNCTION("""COMPUTED_VALUE"""),"2.618,0")</f>
        <v>2.618,0</v>
      </c>
      <c r="G179" s="57">
        <f>IFERROR(__xludf.DUMMYFUNCTION("""COMPUTED_VALUE"""),-70.0)</f>
        <v>-70</v>
      </c>
      <c r="H179" s="32">
        <f>IFERROR(__xludf.DUMMYFUNCTION("""COMPUTED_VALUE"""),-0.0259)</f>
        <v>-0.0259</v>
      </c>
      <c r="I179" s="57" t="str">
        <f>IFERROR(__xludf.DUMMYFUNCTION("""COMPUTED_VALUE"""),"1,29M")</f>
        <v>1,29M</v>
      </c>
      <c r="J179" s="59">
        <f>IFERROR(__xludf.DUMMYFUNCTION("""COMPUTED_VALUE"""),44421.0)</f>
        <v>44421</v>
      </c>
      <c r="K179" s="57"/>
    </row>
    <row r="180">
      <c r="B180" s="57"/>
      <c r="C180" s="57" t="str">
        <f>IFERROR(__xludf.DUMMYFUNCTION("""COMPUTED_VALUE"""),"Inpex Corp.")</f>
        <v>Inpex Corp.</v>
      </c>
      <c r="D180" s="57">
        <f>IFERROR(__xludf.DUMMYFUNCTION("""COMPUTED_VALUE"""),799.0)</f>
        <v>799</v>
      </c>
      <c r="E180" s="57">
        <f>IFERROR(__xludf.DUMMYFUNCTION("""COMPUTED_VALUE"""),800.0)</f>
        <v>800</v>
      </c>
      <c r="F180" s="57">
        <f>IFERROR(__xludf.DUMMYFUNCTION("""COMPUTED_VALUE"""),791.0)</f>
        <v>791</v>
      </c>
      <c r="G180" s="57">
        <f>IFERROR(__xludf.DUMMYFUNCTION("""COMPUTED_VALUE"""),-1.0)</f>
        <v>-1</v>
      </c>
      <c r="H180" s="32">
        <f>IFERROR(__xludf.DUMMYFUNCTION("""COMPUTED_VALUE"""),-0.0013)</f>
        <v>-0.0013</v>
      </c>
      <c r="I180" s="57" t="str">
        <f>IFERROR(__xludf.DUMMYFUNCTION("""COMPUTED_VALUE"""),"6,69M")</f>
        <v>6,69M</v>
      </c>
      <c r="J180" s="59">
        <f>IFERROR(__xludf.DUMMYFUNCTION("""COMPUTED_VALUE"""),44421.0)</f>
        <v>44421</v>
      </c>
      <c r="K180" s="57"/>
    </row>
    <row r="181">
      <c r="B181" s="57"/>
      <c r="C181" s="57" t="str">
        <f>IFERROR(__xludf.DUMMYFUNCTION("""COMPUTED_VALUE"""),"Isetan Mitsukoshi Holdings")</f>
        <v>Isetan Mitsukoshi Holdings</v>
      </c>
      <c r="D181" s="57">
        <f>IFERROR(__xludf.DUMMYFUNCTION("""COMPUTED_VALUE"""),753.0)</f>
        <v>753</v>
      </c>
      <c r="E181" s="57">
        <f>IFERROR(__xludf.DUMMYFUNCTION("""COMPUTED_VALUE"""),768.0)</f>
        <v>768</v>
      </c>
      <c r="F181" s="57">
        <f>IFERROR(__xludf.DUMMYFUNCTION("""COMPUTED_VALUE"""),752.0)</f>
        <v>752</v>
      </c>
      <c r="G181" s="57">
        <f>IFERROR(__xludf.DUMMYFUNCTION("""COMPUTED_VALUE"""),-12.0)</f>
        <v>-12</v>
      </c>
      <c r="H181" s="32">
        <f>IFERROR(__xludf.DUMMYFUNCTION("""COMPUTED_VALUE"""),-0.0157)</f>
        <v>-0.0157</v>
      </c>
      <c r="I181" s="57" t="str">
        <f>IFERROR(__xludf.DUMMYFUNCTION("""COMPUTED_VALUE"""),"1,87M")</f>
        <v>1,87M</v>
      </c>
      <c r="J181" s="59">
        <f>IFERROR(__xludf.DUMMYFUNCTION("""COMPUTED_VALUE"""),44421.0)</f>
        <v>44421</v>
      </c>
      <c r="K181" s="57"/>
    </row>
    <row r="182">
      <c r="B182" s="57"/>
      <c r="C182" s="57" t="str">
        <f>IFERROR(__xludf.DUMMYFUNCTION("""COMPUTED_VALUE"""),"Isuzu Motors")</f>
        <v>Isuzu Motors</v>
      </c>
      <c r="D182" s="57" t="str">
        <f>IFERROR(__xludf.DUMMYFUNCTION("""COMPUTED_VALUE"""),"1.503,0")</f>
        <v>1.503,0</v>
      </c>
      <c r="E182" s="57" t="str">
        <f>IFERROR(__xludf.DUMMYFUNCTION("""COMPUTED_VALUE"""),"1.520,0")</f>
        <v>1.520,0</v>
      </c>
      <c r="F182" s="57" t="str">
        <f>IFERROR(__xludf.DUMMYFUNCTION("""COMPUTED_VALUE"""),"1.499,0")</f>
        <v>1.499,0</v>
      </c>
      <c r="G182" s="57">
        <f>IFERROR(__xludf.DUMMYFUNCTION("""COMPUTED_VALUE"""),-9.0)</f>
        <v>-9</v>
      </c>
      <c r="H182" s="32">
        <f>IFERROR(__xludf.DUMMYFUNCTION("""COMPUTED_VALUE"""),-0.006)</f>
        <v>-0.006</v>
      </c>
      <c r="I182" s="57" t="str">
        <f>IFERROR(__xludf.DUMMYFUNCTION("""COMPUTED_VALUE"""),"2,06M")</f>
        <v>2,06M</v>
      </c>
      <c r="J182" s="59">
        <f>IFERROR(__xludf.DUMMYFUNCTION("""COMPUTED_VALUE"""),44421.0)</f>
        <v>44421</v>
      </c>
      <c r="K182" s="57"/>
    </row>
    <row r="183">
      <c r="B183" s="57"/>
      <c r="C183" s="57" t="str">
        <f>IFERROR(__xludf.DUMMYFUNCTION("""COMPUTED_VALUE"""),"Itochu Corp.")</f>
        <v>Itochu Corp.</v>
      </c>
      <c r="D183" s="57" t="str">
        <f>IFERROR(__xludf.DUMMYFUNCTION("""COMPUTED_VALUE"""),"3.410,0")</f>
        <v>3.410,0</v>
      </c>
      <c r="E183" s="57" t="str">
        <f>IFERROR(__xludf.DUMMYFUNCTION("""COMPUTED_VALUE"""),"3.427,0")</f>
        <v>3.427,0</v>
      </c>
      <c r="F183" s="57" t="str">
        <f>IFERROR(__xludf.DUMMYFUNCTION("""COMPUTED_VALUE"""),"3.393,0")</f>
        <v>3.393,0</v>
      </c>
      <c r="G183" s="57" t="str">
        <f>IFERROR(__xludf.DUMMYFUNCTION("""COMPUTED_VALUE"""),"+1,0")</f>
        <v>+1,0</v>
      </c>
      <c r="H183" s="57" t="str">
        <f>IFERROR(__xludf.DUMMYFUNCTION("""COMPUTED_VALUE"""),"+0,03%")</f>
        <v>+0,03%</v>
      </c>
      <c r="I183" s="57" t="str">
        <f>IFERROR(__xludf.DUMMYFUNCTION("""COMPUTED_VALUE"""),"1,97M")</f>
        <v>1,97M</v>
      </c>
      <c r="J183" s="59">
        <f>IFERROR(__xludf.DUMMYFUNCTION("""COMPUTED_VALUE"""),44421.0)</f>
        <v>44421</v>
      </c>
      <c r="K183" s="57"/>
    </row>
    <row r="184">
      <c r="B184" s="57"/>
      <c r="C184" s="57" t="str">
        <f>IFERROR(__xludf.DUMMYFUNCTION("""COMPUTED_VALUE"""),"J.Front Retailing")</f>
        <v>J.Front Retailing</v>
      </c>
      <c r="D184" s="57">
        <f>IFERROR(__xludf.DUMMYFUNCTION("""COMPUTED_VALUE"""),984.0)</f>
        <v>984</v>
      </c>
      <c r="E184" s="57" t="str">
        <f>IFERROR(__xludf.DUMMYFUNCTION("""COMPUTED_VALUE"""),"1.006,0")</f>
        <v>1.006,0</v>
      </c>
      <c r="F184" s="57">
        <f>IFERROR(__xludf.DUMMYFUNCTION("""COMPUTED_VALUE"""),982.0)</f>
        <v>982</v>
      </c>
      <c r="G184" s="57">
        <f>IFERROR(__xludf.DUMMYFUNCTION("""COMPUTED_VALUE"""),-19.0)</f>
        <v>-19</v>
      </c>
      <c r="H184" s="32">
        <f>IFERROR(__xludf.DUMMYFUNCTION("""COMPUTED_VALUE"""),-0.0189)</f>
        <v>-0.0189</v>
      </c>
      <c r="I184" s="57" t="str">
        <f>IFERROR(__xludf.DUMMYFUNCTION("""COMPUTED_VALUE"""),"1,42M")</f>
        <v>1,42M</v>
      </c>
      <c r="J184" s="59">
        <f>IFERROR(__xludf.DUMMYFUNCTION("""COMPUTED_VALUE"""),44421.0)</f>
        <v>44421</v>
      </c>
      <c r="K184" s="57"/>
    </row>
    <row r="185">
      <c r="B185" s="57"/>
      <c r="C185" s="57" t="str">
        <f>IFERROR(__xludf.DUMMYFUNCTION("""COMPUTED_VALUE"""),"Japan Post Holdings")</f>
        <v>Japan Post Holdings</v>
      </c>
      <c r="D185" s="57">
        <f>IFERROR(__xludf.DUMMYFUNCTION("""COMPUTED_VALUE"""),956.8)</f>
        <v>956.8</v>
      </c>
      <c r="E185" s="57">
        <f>IFERROR(__xludf.DUMMYFUNCTION("""COMPUTED_VALUE"""),968.2)</f>
        <v>968.2</v>
      </c>
      <c r="F185" s="57">
        <f>IFERROR(__xludf.DUMMYFUNCTION("""COMPUTED_VALUE"""),956.8)</f>
        <v>956.8</v>
      </c>
      <c r="G185" s="57">
        <f>IFERROR(__xludf.DUMMYFUNCTION("""COMPUTED_VALUE"""),-8.0)</f>
        <v>-8</v>
      </c>
      <c r="H185" s="32">
        <f>IFERROR(__xludf.DUMMYFUNCTION("""COMPUTED_VALUE"""),-0.0083)</f>
        <v>-0.0083</v>
      </c>
      <c r="I185" s="57" t="str">
        <f>IFERROR(__xludf.DUMMYFUNCTION("""COMPUTED_VALUE"""),"3,55M")</f>
        <v>3,55M</v>
      </c>
      <c r="J185" s="59">
        <f>IFERROR(__xludf.DUMMYFUNCTION("""COMPUTED_VALUE"""),44421.0)</f>
        <v>44421</v>
      </c>
      <c r="K185" s="57"/>
    </row>
    <row r="186">
      <c r="B186" s="57"/>
      <c r="C186" s="57" t="str">
        <f>IFERROR(__xludf.DUMMYFUNCTION("""COMPUTED_VALUE"""),"Japan Steel Works")</f>
        <v>Japan Steel Works</v>
      </c>
      <c r="D186" s="57" t="str">
        <f>IFERROR(__xludf.DUMMYFUNCTION("""COMPUTED_VALUE"""),"2.633,0")</f>
        <v>2.633,0</v>
      </c>
      <c r="E186" s="57" t="str">
        <f>IFERROR(__xludf.DUMMYFUNCTION("""COMPUTED_VALUE"""),"2.702,0")</f>
        <v>2.702,0</v>
      </c>
      <c r="F186" s="57" t="str">
        <f>IFERROR(__xludf.DUMMYFUNCTION("""COMPUTED_VALUE"""),"2.585,0")</f>
        <v>2.585,0</v>
      </c>
      <c r="G186" s="57">
        <f>IFERROR(__xludf.DUMMYFUNCTION("""COMPUTED_VALUE"""),-87.0)</f>
        <v>-87</v>
      </c>
      <c r="H186" s="32">
        <f>IFERROR(__xludf.DUMMYFUNCTION("""COMPUTED_VALUE"""),-0.032)</f>
        <v>-0.032</v>
      </c>
      <c r="I186" s="57" t="str">
        <f>IFERROR(__xludf.DUMMYFUNCTION("""COMPUTED_VALUE"""),"626,40K")</f>
        <v>626,40K</v>
      </c>
      <c r="J186" s="59">
        <f>IFERROR(__xludf.DUMMYFUNCTION("""COMPUTED_VALUE"""),44421.0)</f>
        <v>44421</v>
      </c>
      <c r="K186" s="57"/>
    </row>
    <row r="187">
      <c r="B187" s="57"/>
      <c r="C187" s="57" t="str">
        <f>IFERROR(__xludf.DUMMYFUNCTION("""COMPUTED_VALUE"""),"Japan Tobacco")</f>
        <v>Japan Tobacco</v>
      </c>
      <c r="D187" s="57" t="str">
        <f>IFERROR(__xludf.DUMMYFUNCTION("""COMPUTED_VALUE"""),"2.161,0")</f>
        <v>2.161,0</v>
      </c>
      <c r="E187" s="57" t="str">
        <f>IFERROR(__xludf.DUMMYFUNCTION("""COMPUTED_VALUE"""),"2.166,0")</f>
        <v>2.166,0</v>
      </c>
      <c r="F187" s="57" t="str">
        <f>IFERROR(__xludf.DUMMYFUNCTION("""COMPUTED_VALUE"""),"2.154,0")</f>
        <v>2.154,0</v>
      </c>
      <c r="G187" s="57" t="str">
        <f>IFERROR(__xludf.DUMMYFUNCTION("""COMPUTED_VALUE"""),"+7,0")</f>
        <v>+7,0</v>
      </c>
      <c r="H187" s="57" t="str">
        <f>IFERROR(__xludf.DUMMYFUNCTION("""COMPUTED_VALUE"""),"+0,32%")</f>
        <v>+0,32%</v>
      </c>
      <c r="I187" s="57" t="str">
        <f>IFERROR(__xludf.DUMMYFUNCTION("""COMPUTED_VALUE"""),"2,07M")</f>
        <v>2,07M</v>
      </c>
      <c r="J187" s="59">
        <f>IFERROR(__xludf.DUMMYFUNCTION("""COMPUTED_VALUE"""),44421.0)</f>
        <v>44421</v>
      </c>
      <c r="K187" s="57"/>
    </row>
    <row r="188">
      <c r="B188" s="57"/>
      <c r="C188" s="57" t="str">
        <f>IFERROR(__xludf.DUMMYFUNCTION("""COMPUTED_VALUE"""),"JFE Holdings, Inc.")</f>
        <v>JFE Holdings, Inc.</v>
      </c>
      <c r="D188" s="57" t="str">
        <f>IFERROR(__xludf.DUMMYFUNCTION("""COMPUTED_VALUE"""),"1.654,0")</f>
        <v>1.654,0</v>
      </c>
      <c r="E188" s="57" t="str">
        <f>IFERROR(__xludf.DUMMYFUNCTION("""COMPUTED_VALUE"""),"1.658,0")</f>
        <v>1.658,0</v>
      </c>
      <c r="F188" s="57" t="str">
        <f>IFERROR(__xludf.DUMMYFUNCTION("""COMPUTED_VALUE"""),"1.576,0")</f>
        <v>1.576,0</v>
      </c>
      <c r="G188" s="57" t="str">
        <f>IFERROR(__xludf.DUMMYFUNCTION("""COMPUTED_VALUE"""),"+141,0")</f>
        <v>+141,0</v>
      </c>
      <c r="H188" s="57" t="str">
        <f>IFERROR(__xludf.DUMMYFUNCTION("""COMPUTED_VALUE"""),"+9,32%")</f>
        <v>+9,32%</v>
      </c>
      <c r="I188" s="57" t="str">
        <f>IFERROR(__xludf.DUMMYFUNCTION("""COMPUTED_VALUE"""),"28,40M")</f>
        <v>28,40M</v>
      </c>
      <c r="J188" s="59">
        <f>IFERROR(__xludf.DUMMYFUNCTION("""COMPUTED_VALUE"""),44421.0)</f>
        <v>44421</v>
      </c>
      <c r="K188" s="57"/>
    </row>
    <row r="189">
      <c r="B189" s="57"/>
      <c r="C189" s="57" t="str">
        <f>IFERROR(__xludf.DUMMYFUNCTION("""COMPUTED_VALUE"""),"JGC Corp.")</f>
        <v>JGC Corp.</v>
      </c>
      <c r="D189" s="57">
        <f>IFERROR(__xludf.DUMMYFUNCTION("""COMPUTED_VALUE"""),972.0)</f>
        <v>972</v>
      </c>
      <c r="E189" s="57">
        <f>IFERROR(__xludf.DUMMYFUNCTION("""COMPUTED_VALUE"""),991.0)</f>
        <v>991</v>
      </c>
      <c r="F189" s="57">
        <f>IFERROR(__xludf.DUMMYFUNCTION("""COMPUTED_VALUE"""),972.0)</f>
        <v>972</v>
      </c>
      <c r="G189" s="57">
        <f>IFERROR(__xludf.DUMMYFUNCTION("""COMPUTED_VALUE"""),-11.0)</f>
        <v>-11</v>
      </c>
      <c r="H189" s="32">
        <f>IFERROR(__xludf.DUMMYFUNCTION("""COMPUTED_VALUE"""),-0.0112)</f>
        <v>-0.0112</v>
      </c>
      <c r="I189" s="57" t="str">
        <f>IFERROR(__xludf.DUMMYFUNCTION("""COMPUTED_VALUE"""),"1,09M")</f>
        <v>1,09M</v>
      </c>
      <c r="J189" s="59">
        <f>IFERROR(__xludf.DUMMYFUNCTION("""COMPUTED_VALUE"""),44421.0)</f>
        <v>44421</v>
      </c>
      <c r="K189" s="57"/>
    </row>
    <row r="190">
      <c r="B190" s="57"/>
      <c r="C190" s="57" t="str">
        <f>IFERROR(__xludf.DUMMYFUNCTION("""COMPUTED_VALUE"""),"JTEKT Corp.")</f>
        <v>JTEKT Corp.</v>
      </c>
      <c r="D190" s="57" t="str">
        <f>IFERROR(__xludf.DUMMYFUNCTION("""COMPUTED_VALUE"""),"1.041,0")</f>
        <v>1.041,0</v>
      </c>
      <c r="E190" s="57" t="str">
        <f>IFERROR(__xludf.DUMMYFUNCTION("""COMPUTED_VALUE"""),"1.052,0")</f>
        <v>1.052,0</v>
      </c>
      <c r="F190" s="57" t="str">
        <f>IFERROR(__xludf.DUMMYFUNCTION("""COMPUTED_VALUE"""),"1.034,0")</f>
        <v>1.034,0</v>
      </c>
      <c r="G190" s="57">
        <f>IFERROR(__xludf.DUMMYFUNCTION("""COMPUTED_VALUE"""),-1.0)</f>
        <v>-1</v>
      </c>
      <c r="H190" s="32">
        <f>IFERROR(__xludf.DUMMYFUNCTION("""COMPUTED_VALUE"""),-0.001)</f>
        <v>-0.001</v>
      </c>
      <c r="I190" s="57" t="str">
        <f>IFERROR(__xludf.DUMMYFUNCTION("""COMPUTED_VALUE"""),"980,00K")</f>
        <v>980,00K</v>
      </c>
      <c r="J190" s="59">
        <f>IFERROR(__xludf.DUMMYFUNCTION("""COMPUTED_VALUE"""),44421.0)</f>
        <v>44421</v>
      </c>
      <c r="K190" s="57"/>
    </row>
    <row r="191">
      <c r="B191" s="57"/>
      <c r="C191" s="57" t="str">
        <f>IFERROR(__xludf.DUMMYFUNCTION("""COMPUTED_VALUE"""),"Kajima Corp.")</f>
        <v>Kajima Corp.</v>
      </c>
      <c r="D191" s="57" t="str">
        <f>IFERROR(__xludf.DUMMYFUNCTION("""COMPUTED_VALUE"""),"1.464,0")</f>
        <v>1.464,0</v>
      </c>
      <c r="E191" s="57" t="str">
        <f>IFERROR(__xludf.DUMMYFUNCTION("""COMPUTED_VALUE"""),"1.488,0")</f>
        <v>1.488,0</v>
      </c>
      <c r="F191" s="57" t="str">
        <f>IFERROR(__xludf.DUMMYFUNCTION("""COMPUTED_VALUE"""),"1.462,0")</f>
        <v>1.462,0</v>
      </c>
      <c r="G191" s="57">
        <f>IFERROR(__xludf.DUMMYFUNCTION("""COMPUTED_VALUE"""),-18.0)</f>
        <v>-18</v>
      </c>
      <c r="H191" s="32">
        <f>IFERROR(__xludf.DUMMYFUNCTION("""COMPUTED_VALUE"""),-0.0121)</f>
        <v>-0.0121</v>
      </c>
      <c r="I191" s="57" t="str">
        <f>IFERROR(__xludf.DUMMYFUNCTION("""COMPUTED_VALUE"""),"1,08M")</f>
        <v>1,08M</v>
      </c>
      <c r="J191" s="59">
        <f>IFERROR(__xludf.DUMMYFUNCTION("""COMPUTED_VALUE"""),44421.0)</f>
        <v>44421</v>
      </c>
      <c r="K191" s="57"/>
    </row>
    <row r="192">
      <c r="B192" s="57"/>
      <c r="C192" s="57" t="str">
        <f>IFERROR(__xludf.DUMMYFUNCTION("""COMPUTED_VALUE"""),"Kansai Electric Power")</f>
        <v>Kansai Electric Power</v>
      </c>
      <c r="D192" s="57" t="str">
        <f>IFERROR(__xludf.DUMMYFUNCTION("""COMPUTED_VALUE"""),"1.104,0")</f>
        <v>1.104,0</v>
      </c>
      <c r="E192" s="57" t="str">
        <f>IFERROR(__xludf.DUMMYFUNCTION("""COMPUTED_VALUE"""),"1.120,0")</f>
        <v>1.120,0</v>
      </c>
      <c r="F192" s="57" t="str">
        <f>IFERROR(__xludf.DUMMYFUNCTION("""COMPUTED_VALUE"""),"1.103,0")</f>
        <v>1.103,0</v>
      </c>
      <c r="G192" s="57">
        <f>IFERROR(__xludf.DUMMYFUNCTION("""COMPUTED_VALUE"""),-13.0)</f>
        <v>-13</v>
      </c>
      <c r="H192" s="32">
        <f>IFERROR(__xludf.DUMMYFUNCTION("""COMPUTED_VALUE"""),-0.0116)</f>
        <v>-0.0116</v>
      </c>
      <c r="I192" s="57" t="str">
        <f>IFERROR(__xludf.DUMMYFUNCTION("""COMPUTED_VALUE"""),"1,37M")</f>
        <v>1,37M</v>
      </c>
      <c r="J192" s="59">
        <f>IFERROR(__xludf.DUMMYFUNCTION("""COMPUTED_VALUE"""),44421.0)</f>
        <v>44421</v>
      </c>
      <c r="K192" s="57"/>
    </row>
    <row r="193">
      <c r="B193" s="57"/>
      <c r="C193" s="57" t="str">
        <f>IFERROR(__xludf.DUMMYFUNCTION("""COMPUTED_VALUE"""),"Kao Corp.")</f>
        <v>Kao Corp.</v>
      </c>
      <c r="D193" s="57" t="str">
        <f>IFERROR(__xludf.DUMMYFUNCTION("""COMPUTED_VALUE"""),"6.765,0")</f>
        <v>6.765,0</v>
      </c>
      <c r="E193" s="57" t="str">
        <f>IFERROR(__xludf.DUMMYFUNCTION("""COMPUTED_VALUE"""),"6.805,0")</f>
        <v>6.805,0</v>
      </c>
      <c r="F193" s="57" t="str">
        <f>IFERROR(__xludf.DUMMYFUNCTION("""COMPUTED_VALUE"""),"6.740,0")</f>
        <v>6.740,0</v>
      </c>
      <c r="G193" s="57" t="str">
        <f>IFERROR(__xludf.DUMMYFUNCTION("""COMPUTED_VALUE"""),"+43,0")</f>
        <v>+43,0</v>
      </c>
      <c r="H193" s="57" t="str">
        <f>IFERROR(__xludf.DUMMYFUNCTION("""COMPUTED_VALUE"""),"+0,64%")</f>
        <v>+0,64%</v>
      </c>
      <c r="I193" s="57" t="str">
        <f>IFERROR(__xludf.DUMMYFUNCTION("""COMPUTED_VALUE"""),"995,20K")</f>
        <v>995,20K</v>
      </c>
      <c r="J193" s="59">
        <f>IFERROR(__xludf.DUMMYFUNCTION("""COMPUTED_VALUE"""),44421.0)</f>
        <v>44421</v>
      </c>
      <c r="K193" s="57"/>
    </row>
    <row r="194">
      <c r="B194" s="57"/>
      <c r="C194" s="57" t="str">
        <f>IFERROR(__xludf.DUMMYFUNCTION("""COMPUTED_VALUE"""),"Kawasaki Heavy Industries")</f>
        <v>Kawasaki Heavy Industries</v>
      </c>
      <c r="D194" s="57" t="str">
        <f>IFERROR(__xludf.DUMMYFUNCTION("""COMPUTED_VALUE"""),"2.446,0")</f>
        <v>2.446,0</v>
      </c>
      <c r="E194" s="57" t="str">
        <f>IFERROR(__xludf.DUMMYFUNCTION("""COMPUTED_VALUE"""),"2.512,0")</f>
        <v>2.512,0</v>
      </c>
      <c r="F194" s="57" t="str">
        <f>IFERROR(__xludf.DUMMYFUNCTION("""COMPUTED_VALUE"""),"2.445,0")</f>
        <v>2.445,0</v>
      </c>
      <c r="G194" s="57">
        <f>IFERROR(__xludf.DUMMYFUNCTION("""COMPUTED_VALUE"""),-82.0)</f>
        <v>-82</v>
      </c>
      <c r="H194" s="32">
        <f>IFERROR(__xludf.DUMMYFUNCTION("""COMPUTED_VALUE"""),-0.0324)</f>
        <v>-0.0324</v>
      </c>
      <c r="I194" s="57" t="str">
        <f>IFERROR(__xludf.DUMMYFUNCTION("""COMPUTED_VALUE"""),"1,24M")</f>
        <v>1,24M</v>
      </c>
      <c r="J194" s="59">
        <f>IFERROR(__xludf.DUMMYFUNCTION("""COMPUTED_VALUE"""),44421.0)</f>
        <v>44421</v>
      </c>
      <c r="K194" s="57"/>
    </row>
    <row r="195">
      <c r="B195" s="57"/>
      <c r="C195" s="57" t="str">
        <f>IFERROR(__xludf.DUMMYFUNCTION("""COMPUTED_VALUE"""),"Kawasaki Kisen Kaisha")</f>
        <v>Kawasaki Kisen Kaisha</v>
      </c>
      <c r="D195" s="57" t="str">
        <f>IFERROR(__xludf.DUMMYFUNCTION("""COMPUTED_VALUE"""),"4.975,0")</f>
        <v>4.975,0</v>
      </c>
      <c r="E195" s="57" t="str">
        <f>IFERROR(__xludf.DUMMYFUNCTION("""COMPUTED_VALUE"""),"5.040,0")</f>
        <v>5.040,0</v>
      </c>
      <c r="F195" s="57" t="str">
        <f>IFERROR(__xludf.DUMMYFUNCTION("""COMPUTED_VALUE"""),"4.750,0")</f>
        <v>4.750,0</v>
      </c>
      <c r="G195" s="57" t="str">
        <f>IFERROR(__xludf.DUMMYFUNCTION("""COMPUTED_VALUE"""),"+185,0")</f>
        <v>+185,0</v>
      </c>
      <c r="H195" s="57" t="str">
        <f>IFERROR(__xludf.DUMMYFUNCTION("""COMPUTED_VALUE"""),"+3,86%")</f>
        <v>+3,86%</v>
      </c>
      <c r="I195" s="57" t="str">
        <f>IFERROR(__xludf.DUMMYFUNCTION("""COMPUTED_VALUE"""),"7,95M")</f>
        <v>7,95M</v>
      </c>
      <c r="J195" s="59">
        <f>IFERROR(__xludf.DUMMYFUNCTION("""COMPUTED_VALUE"""),44421.0)</f>
        <v>44421</v>
      </c>
      <c r="K195" s="57"/>
    </row>
    <row r="196">
      <c r="B196" s="57"/>
      <c r="C196" s="57" t="str">
        <f>IFERROR(__xludf.DUMMYFUNCTION("""COMPUTED_VALUE"""),"KDDI Corp.")</f>
        <v>KDDI Corp.</v>
      </c>
      <c r="D196" s="57" t="str">
        <f>IFERROR(__xludf.DUMMYFUNCTION("""COMPUTED_VALUE"""),"3.373,0")</f>
        <v>3.373,0</v>
      </c>
      <c r="E196" s="57" t="str">
        <f>IFERROR(__xludf.DUMMYFUNCTION("""COMPUTED_VALUE"""),"3.388,0")</f>
        <v>3.388,0</v>
      </c>
      <c r="F196" s="57" t="str">
        <f>IFERROR(__xludf.DUMMYFUNCTION("""COMPUTED_VALUE"""),"3.363,0")</f>
        <v>3.363,0</v>
      </c>
      <c r="G196" s="57" t="str">
        <f>IFERROR(__xludf.DUMMYFUNCTION("""COMPUTED_VALUE"""),"+15,0")</f>
        <v>+15,0</v>
      </c>
      <c r="H196" s="57" t="str">
        <f>IFERROR(__xludf.DUMMYFUNCTION("""COMPUTED_VALUE"""),"+0,45%")</f>
        <v>+0,45%</v>
      </c>
      <c r="I196" s="57" t="str">
        <f>IFERROR(__xludf.DUMMYFUNCTION("""COMPUTED_VALUE"""),"3,17M")</f>
        <v>3,17M</v>
      </c>
      <c r="J196" s="59">
        <f>IFERROR(__xludf.DUMMYFUNCTION("""COMPUTED_VALUE"""),44421.0)</f>
        <v>44421</v>
      </c>
      <c r="K196" s="57"/>
    </row>
    <row r="197">
      <c r="B197" s="57"/>
      <c r="C197" s="57" t="str">
        <f>IFERROR(__xludf.DUMMYFUNCTION("""COMPUTED_VALUE"""),"Keio Corp.")</f>
        <v>Keio Corp.</v>
      </c>
      <c r="D197" s="57" t="str">
        <f>IFERROR(__xludf.DUMMYFUNCTION("""COMPUTED_VALUE"""),"6.080,0")</f>
        <v>6.080,0</v>
      </c>
      <c r="E197" s="57" t="str">
        <f>IFERROR(__xludf.DUMMYFUNCTION("""COMPUTED_VALUE"""),"6.150,0")</f>
        <v>6.150,0</v>
      </c>
      <c r="F197" s="57" t="str">
        <f>IFERROR(__xludf.DUMMYFUNCTION("""COMPUTED_VALUE"""),"6.040,0")</f>
        <v>6.040,0</v>
      </c>
      <c r="G197" s="57">
        <f>IFERROR(__xludf.DUMMYFUNCTION("""COMPUTED_VALUE"""),-70.0)</f>
        <v>-70</v>
      </c>
      <c r="H197" s="32">
        <f>IFERROR(__xludf.DUMMYFUNCTION("""COMPUTED_VALUE"""),-0.0114)</f>
        <v>-0.0114</v>
      </c>
      <c r="I197" s="57" t="str">
        <f>IFERROR(__xludf.DUMMYFUNCTION("""COMPUTED_VALUE"""),"229,50K")</f>
        <v>229,50K</v>
      </c>
      <c r="J197" s="59">
        <f>IFERROR(__xludf.DUMMYFUNCTION("""COMPUTED_VALUE"""),44421.0)</f>
        <v>44421</v>
      </c>
      <c r="K197" s="57"/>
    </row>
    <row r="198">
      <c r="B198" s="57"/>
      <c r="C198" s="57" t="str">
        <f>IFERROR(__xludf.DUMMYFUNCTION("""COMPUTED_VALUE"""),"Keisei Electric Railway")</f>
        <v>Keisei Electric Railway</v>
      </c>
      <c r="D198" s="57" t="str">
        <f>IFERROR(__xludf.DUMMYFUNCTION("""COMPUTED_VALUE"""),"3.275,0")</f>
        <v>3.275,0</v>
      </c>
      <c r="E198" s="57" t="str">
        <f>IFERROR(__xludf.DUMMYFUNCTION("""COMPUTED_VALUE"""),"3.285,0")</f>
        <v>3.285,0</v>
      </c>
      <c r="F198" s="57" t="str">
        <f>IFERROR(__xludf.DUMMYFUNCTION("""COMPUTED_VALUE"""),"3.240,0")</f>
        <v>3.240,0</v>
      </c>
      <c r="G198" s="57" t="str">
        <f>IFERROR(__xludf.DUMMYFUNCTION("""COMPUTED_VALUE"""),"+10,0")</f>
        <v>+10,0</v>
      </c>
      <c r="H198" s="57" t="str">
        <f>IFERROR(__xludf.DUMMYFUNCTION("""COMPUTED_VALUE"""),"+0,31%")</f>
        <v>+0,31%</v>
      </c>
      <c r="I198" s="57" t="str">
        <f>IFERROR(__xludf.DUMMYFUNCTION("""COMPUTED_VALUE"""),"385,70K")</f>
        <v>385,70K</v>
      </c>
      <c r="J198" s="59">
        <f>IFERROR(__xludf.DUMMYFUNCTION("""COMPUTED_VALUE"""),44421.0)</f>
        <v>44421</v>
      </c>
      <c r="K198" s="57"/>
    </row>
    <row r="199">
      <c r="B199" s="57"/>
      <c r="C199" s="57" t="str">
        <f>IFERROR(__xludf.DUMMYFUNCTION("""COMPUTED_VALUE"""),"Kikkoman Corp.")</f>
        <v>Kikkoman Corp.</v>
      </c>
      <c r="D199" s="57" t="str">
        <f>IFERROR(__xludf.DUMMYFUNCTION("""COMPUTED_VALUE"""),"7.230,0")</f>
        <v>7.230,0</v>
      </c>
      <c r="E199" s="57" t="str">
        <f>IFERROR(__xludf.DUMMYFUNCTION("""COMPUTED_VALUE"""),"7.240,0")</f>
        <v>7.240,0</v>
      </c>
      <c r="F199" s="57" t="str">
        <f>IFERROR(__xludf.DUMMYFUNCTION("""COMPUTED_VALUE"""),"7.140,0")</f>
        <v>7.140,0</v>
      </c>
      <c r="G199" s="57" t="str">
        <f>IFERROR(__xludf.DUMMYFUNCTION("""COMPUTED_VALUE"""),"+40,0")</f>
        <v>+40,0</v>
      </c>
      <c r="H199" s="57" t="str">
        <f>IFERROR(__xludf.DUMMYFUNCTION("""COMPUTED_VALUE"""),"+0,56%")</f>
        <v>+0,56%</v>
      </c>
      <c r="I199" s="57" t="str">
        <f>IFERROR(__xludf.DUMMYFUNCTION("""COMPUTED_VALUE"""),"449,80K")</f>
        <v>449,80K</v>
      </c>
      <c r="J199" s="59">
        <f>IFERROR(__xludf.DUMMYFUNCTION("""COMPUTED_VALUE"""),44421.0)</f>
        <v>44421</v>
      </c>
      <c r="K199" s="57"/>
    </row>
    <row r="200">
      <c r="B200" s="57"/>
      <c r="C200" s="57" t="str">
        <f>IFERROR(__xludf.DUMMYFUNCTION("""COMPUTED_VALUE"""),"Kirin Holdings")</f>
        <v>Kirin Holdings</v>
      </c>
      <c r="D200" s="57" t="str">
        <f>IFERROR(__xludf.DUMMYFUNCTION("""COMPUTED_VALUE"""),"1.946,0")</f>
        <v>1.946,0</v>
      </c>
      <c r="E200" s="57" t="str">
        <f>IFERROR(__xludf.DUMMYFUNCTION("""COMPUTED_VALUE"""),"1.969,5")</f>
        <v>1.969,5</v>
      </c>
      <c r="F200" s="57" t="str">
        <f>IFERROR(__xludf.DUMMYFUNCTION("""COMPUTED_VALUE"""),"1.944,0")</f>
        <v>1.944,0</v>
      </c>
      <c r="G200" s="57">
        <f>IFERROR(__xludf.DUMMYFUNCTION("""COMPUTED_VALUE"""),-12.5)</f>
        <v>-12.5</v>
      </c>
      <c r="H200" s="32">
        <f>IFERROR(__xludf.DUMMYFUNCTION("""COMPUTED_VALUE"""),-0.0064)</f>
        <v>-0.0064</v>
      </c>
      <c r="I200" s="57" t="str">
        <f>IFERROR(__xludf.DUMMYFUNCTION("""COMPUTED_VALUE"""),"3,98M")</f>
        <v>3,98M</v>
      </c>
      <c r="J200" s="59">
        <f>IFERROR(__xludf.DUMMYFUNCTION("""COMPUTED_VALUE"""),44421.0)</f>
        <v>44421</v>
      </c>
      <c r="K200" s="57"/>
    </row>
    <row r="201">
      <c r="B201" s="57"/>
      <c r="C201" s="57" t="str">
        <f>IFERROR(__xludf.DUMMYFUNCTION("""COMPUTED_VALUE"""),"Kobe Steel")</f>
        <v>Kobe Steel</v>
      </c>
      <c r="D201" s="57">
        <f>IFERROR(__xludf.DUMMYFUNCTION("""COMPUTED_VALUE"""),731.0)</f>
        <v>731</v>
      </c>
      <c r="E201" s="57">
        <f>IFERROR(__xludf.DUMMYFUNCTION("""COMPUTED_VALUE"""),735.0)</f>
        <v>735</v>
      </c>
      <c r="F201" s="57">
        <f>IFERROR(__xludf.DUMMYFUNCTION("""COMPUTED_VALUE"""),711.0)</f>
        <v>711</v>
      </c>
      <c r="G201" s="57" t="str">
        <f>IFERROR(__xludf.DUMMYFUNCTION("""COMPUTED_VALUE"""),"+19,0")</f>
        <v>+19,0</v>
      </c>
      <c r="H201" s="57" t="str">
        <f>IFERROR(__xludf.DUMMYFUNCTION("""COMPUTED_VALUE"""),"+2,67%")</f>
        <v>+2,67%</v>
      </c>
      <c r="I201" s="57" t="str">
        <f>IFERROR(__xludf.DUMMYFUNCTION("""COMPUTED_VALUE"""),"9,38M")</f>
        <v>9,38M</v>
      </c>
      <c r="J201" s="59">
        <f>IFERROR(__xludf.DUMMYFUNCTION("""COMPUTED_VALUE"""),44421.0)</f>
        <v>44421</v>
      </c>
      <c r="K201" s="57"/>
    </row>
    <row r="202">
      <c r="B202" s="57"/>
      <c r="C202" s="57" t="str">
        <f>IFERROR(__xludf.DUMMYFUNCTION("""COMPUTED_VALUE"""),"Komatsu")</f>
        <v>Komatsu</v>
      </c>
      <c r="D202" s="57" t="str">
        <f>IFERROR(__xludf.DUMMYFUNCTION("""COMPUTED_VALUE"""),"2.814,5")</f>
        <v>2.814,5</v>
      </c>
      <c r="E202" s="57" t="str">
        <f>IFERROR(__xludf.DUMMYFUNCTION("""COMPUTED_VALUE"""),"2.822,5")</f>
        <v>2.822,5</v>
      </c>
      <c r="F202" s="57" t="str">
        <f>IFERROR(__xludf.DUMMYFUNCTION("""COMPUTED_VALUE"""),"2.790,0")</f>
        <v>2.790,0</v>
      </c>
      <c r="G202" s="57" t="str">
        <f>IFERROR(__xludf.DUMMYFUNCTION("""COMPUTED_VALUE"""),"+8,0")</f>
        <v>+8,0</v>
      </c>
      <c r="H202" s="57" t="str">
        <f>IFERROR(__xludf.DUMMYFUNCTION("""COMPUTED_VALUE"""),"+0,29%")</f>
        <v>+0,29%</v>
      </c>
      <c r="I202" s="57" t="str">
        <f>IFERROR(__xludf.DUMMYFUNCTION("""COMPUTED_VALUE"""),"2,54M")</f>
        <v>2,54M</v>
      </c>
      <c r="J202" s="59">
        <f>IFERROR(__xludf.DUMMYFUNCTION("""COMPUTED_VALUE"""),44421.0)</f>
        <v>44421</v>
      </c>
      <c r="K202" s="57"/>
    </row>
    <row r="203">
      <c r="B203" s="57"/>
      <c r="C203" s="57" t="str">
        <f>IFERROR(__xludf.DUMMYFUNCTION("""COMPUTED_VALUE"""),"Konami Corp.")</f>
        <v>Konami Corp.</v>
      </c>
      <c r="D203" s="57" t="str">
        <f>IFERROR(__xludf.DUMMYFUNCTION("""COMPUTED_VALUE"""),"6.480,0")</f>
        <v>6.480,0</v>
      </c>
      <c r="E203" s="57" t="str">
        <f>IFERROR(__xludf.DUMMYFUNCTION("""COMPUTED_VALUE"""),"6.560,0")</f>
        <v>6.560,0</v>
      </c>
      <c r="F203" s="57" t="str">
        <f>IFERROR(__xludf.DUMMYFUNCTION("""COMPUTED_VALUE"""),"6.380,0")</f>
        <v>6.380,0</v>
      </c>
      <c r="G203" s="57" t="str">
        <f>IFERROR(__xludf.DUMMYFUNCTION("""COMPUTED_VALUE"""),"+80,0")</f>
        <v>+80,0</v>
      </c>
      <c r="H203" s="57" t="str">
        <f>IFERROR(__xludf.DUMMYFUNCTION("""COMPUTED_VALUE"""),"+1,25%")</f>
        <v>+1,25%</v>
      </c>
      <c r="I203" s="57" t="str">
        <f>IFERROR(__xludf.DUMMYFUNCTION("""COMPUTED_VALUE"""),"613,30K")</f>
        <v>613,30K</v>
      </c>
      <c r="J203" s="59">
        <f>IFERROR(__xludf.DUMMYFUNCTION("""COMPUTED_VALUE"""),44421.0)</f>
        <v>44421</v>
      </c>
      <c r="K203" s="57"/>
    </row>
    <row r="204">
      <c r="B204" s="57"/>
      <c r="C204" s="57" t="str">
        <f>IFERROR(__xludf.DUMMYFUNCTION("""COMPUTED_VALUE"""),"Konica Minolta, Inc.")</f>
        <v>Konica Minolta, Inc.</v>
      </c>
      <c r="D204" s="57">
        <f>IFERROR(__xludf.DUMMYFUNCTION("""COMPUTED_VALUE"""),577.0)</f>
        <v>577</v>
      </c>
      <c r="E204" s="57">
        <f>IFERROR(__xludf.DUMMYFUNCTION("""COMPUTED_VALUE"""),579.0)</f>
        <v>579</v>
      </c>
      <c r="F204" s="57">
        <f>IFERROR(__xludf.DUMMYFUNCTION("""COMPUTED_VALUE"""),567.0)</f>
        <v>567</v>
      </c>
      <c r="G204" s="57" t="str">
        <f>IFERROR(__xludf.DUMMYFUNCTION("""COMPUTED_VALUE"""),"+4,0")</f>
        <v>+4,0</v>
      </c>
      <c r="H204" s="57" t="str">
        <f>IFERROR(__xludf.DUMMYFUNCTION("""COMPUTED_VALUE"""),"+0,70%")</f>
        <v>+0,70%</v>
      </c>
      <c r="I204" s="57" t="str">
        <f>IFERROR(__xludf.DUMMYFUNCTION("""COMPUTED_VALUE"""),"3,68M")</f>
        <v>3,68M</v>
      </c>
      <c r="J204" s="59">
        <f>IFERROR(__xludf.DUMMYFUNCTION("""COMPUTED_VALUE"""),44421.0)</f>
        <v>44421</v>
      </c>
      <c r="K204" s="57"/>
    </row>
    <row r="205">
      <c r="B205" s="57"/>
      <c r="C205" s="57" t="str">
        <f>IFERROR(__xludf.DUMMYFUNCTION("""COMPUTED_VALUE"""),"Kubota Corp.")</f>
        <v>Kubota Corp.</v>
      </c>
      <c r="D205" s="57" t="str">
        <f>IFERROR(__xludf.DUMMYFUNCTION("""COMPUTED_VALUE"""),"2.318,5")</f>
        <v>2.318,5</v>
      </c>
      <c r="E205" s="57" t="str">
        <f>IFERROR(__xludf.DUMMYFUNCTION("""COMPUTED_VALUE"""),"2.329,5")</f>
        <v>2.329,5</v>
      </c>
      <c r="F205" s="57" t="str">
        <f>IFERROR(__xludf.DUMMYFUNCTION("""COMPUTED_VALUE"""),"2.274,0")</f>
        <v>2.274,0</v>
      </c>
      <c r="G205" s="57" t="str">
        <f>IFERROR(__xludf.DUMMYFUNCTION("""COMPUTED_VALUE"""),"+4,5")</f>
        <v>+4,5</v>
      </c>
      <c r="H205" s="57" t="str">
        <f>IFERROR(__xludf.DUMMYFUNCTION("""COMPUTED_VALUE"""),"+0,19%")</f>
        <v>+0,19%</v>
      </c>
      <c r="I205" s="57" t="str">
        <f>IFERROR(__xludf.DUMMYFUNCTION("""COMPUTED_VALUE"""),"2,79M")</f>
        <v>2,79M</v>
      </c>
      <c r="J205" s="59">
        <f>IFERROR(__xludf.DUMMYFUNCTION("""COMPUTED_VALUE"""),44421.0)</f>
        <v>44421</v>
      </c>
      <c r="K205" s="57"/>
    </row>
    <row r="206">
      <c r="B206" s="57"/>
      <c r="C206" s="57" t="str">
        <f>IFERROR(__xludf.DUMMYFUNCTION("""COMPUTED_VALUE"""),"Kuraray")</f>
        <v>Kuraray</v>
      </c>
      <c r="D206" s="57" t="str">
        <f>IFERROR(__xludf.DUMMYFUNCTION("""COMPUTED_VALUE"""),"1.066,0")</f>
        <v>1.066,0</v>
      </c>
      <c r="E206" s="57" t="str">
        <f>IFERROR(__xludf.DUMMYFUNCTION("""COMPUTED_VALUE"""),"1.079,0")</f>
        <v>1.079,0</v>
      </c>
      <c r="F206" s="57" t="str">
        <f>IFERROR(__xludf.DUMMYFUNCTION("""COMPUTED_VALUE"""),"1.056,0")</f>
        <v>1.056,0</v>
      </c>
      <c r="G206" s="57">
        <f>IFERROR(__xludf.DUMMYFUNCTION("""COMPUTED_VALUE"""),-6.0)</f>
        <v>-6</v>
      </c>
      <c r="H206" s="32">
        <f>IFERROR(__xludf.DUMMYFUNCTION("""COMPUTED_VALUE"""),-0.0056)</f>
        <v>-0.0056</v>
      </c>
      <c r="I206" s="57" t="str">
        <f>IFERROR(__xludf.DUMMYFUNCTION("""COMPUTED_VALUE"""),"1,92M")</f>
        <v>1,92M</v>
      </c>
      <c r="J206" s="59">
        <f>IFERROR(__xludf.DUMMYFUNCTION("""COMPUTED_VALUE"""),44421.0)</f>
        <v>44421</v>
      </c>
      <c r="K206" s="57"/>
    </row>
    <row r="207">
      <c r="B207" s="57"/>
      <c r="C207" s="57" t="str">
        <f>IFERROR(__xludf.DUMMYFUNCTION("""COMPUTED_VALUE"""),"Kyocera Corp.")</f>
        <v>Kyocera Corp.</v>
      </c>
      <c r="D207" s="57" t="str">
        <f>IFERROR(__xludf.DUMMYFUNCTION("""COMPUTED_VALUE"""),"6.813,0")</f>
        <v>6.813,0</v>
      </c>
      <c r="E207" s="57" t="str">
        <f>IFERROR(__xludf.DUMMYFUNCTION("""COMPUTED_VALUE"""),"6.839,0")</f>
        <v>6.839,0</v>
      </c>
      <c r="F207" s="57" t="str">
        <f>IFERROR(__xludf.DUMMYFUNCTION("""COMPUTED_VALUE"""),"6.750,0")</f>
        <v>6.750,0</v>
      </c>
      <c r="G207" s="57" t="str">
        <f>IFERROR(__xludf.DUMMYFUNCTION("""COMPUTED_VALUE"""),"+27,0")</f>
        <v>+27,0</v>
      </c>
      <c r="H207" s="57" t="str">
        <f>IFERROR(__xludf.DUMMYFUNCTION("""COMPUTED_VALUE"""),"+0,40%")</f>
        <v>+0,40%</v>
      </c>
      <c r="I207" s="57" t="str">
        <f>IFERROR(__xludf.DUMMYFUNCTION("""COMPUTED_VALUE"""),"988,80K")</f>
        <v>988,80K</v>
      </c>
      <c r="J207" s="59">
        <f>IFERROR(__xludf.DUMMYFUNCTION("""COMPUTED_VALUE"""),44421.0)</f>
        <v>44421</v>
      </c>
      <c r="K207" s="57"/>
    </row>
    <row r="208">
      <c r="B208" s="57"/>
      <c r="C208" s="57" t="str">
        <f>IFERROR(__xludf.DUMMYFUNCTION("""COMPUTED_VALUE"""),"Kyowa Hakko Kirin")</f>
        <v>Kyowa Hakko Kirin</v>
      </c>
      <c r="D208" s="57" t="str">
        <f>IFERROR(__xludf.DUMMYFUNCTION("""COMPUTED_VALUE"""),"3.460,0")</f>
        <v>3.460,0</v>
      </c>
      <c r="E208" s="57" t="str">
        <f>IFERROR(__xludf.DUMMYFUNCTION("""COMPUTED_VALUE"""),"3.525,0")</f>
        <v>3.525,0</v>
      </c>
      <c r="F208" s="57" t="str">
        <f>IFERROR(__xludf.DUMMYFUNCTION("""COMPUTED_VALUE"""),"3.460,0")</f>
        <v>3.460,0</v>
      </c>
      <c r="G208" s="57">
        <f>IFERROR(__xludf.DUMMYFUNCTION("""COMPUTED_VALUE"""),-45.0)</f>
        <v>-45</v>
      </c>
      <c r="H208" s="32">
        <f>IFERROR(__xludf.DUMMYFUNCTION("""COMPUTED_VALUE"""),-0.0128)</f>
        <v>-0.0128</v>
      </c>
      <c r="I208" s="57" t="str">
        <f>IFERROR(__xludf.DUMMYFUNCTION("""COMPUTED_VALUE"""),"599,40K")</f>
        <v>599,40K</v>
      </c>
      <c r="J208" s="59">
        <f>IFERROR(__xludf.DUMMYFUNCTION("""COMPUTED_VALUE"""),44421.0)</f>
        <v>44421</v>
      </c>
      <c r="K208" s="57"/>
    </row>
    <row r="209">
      <c r="B209" s="57"/>
      <c r="C209" s="57" t="str">
        <f>IFERROR(__xludf.DUMMYFUNCTION("""COMPUTED_VALUE"""),"Marubeni Corp.")</f>
        <v>Marubeni Corp.</v>
      </c>
      <c r="D209" s="57">
        <f>IFERROR(__xludf.DUMMYFUNCTION("""COMPUTED_VALUE"""),926.1)</f>
        <v>926.1</v>
      </c>
      <c r="E209" s="57">
        <f>IFERROR(__xludf.DUMMYFUNCTION("""COMPUTED_VALUE"""),927.6)</f>
        <v>927.6</v>
      </c>
      <c r="F209" s="57">
        <f>IFERROR(__xludf.DUMMYFUNCTION("""COMPUTED_VALUE"""),916.2)</f>
        <v>916.2</v>
      </c>
      <c r="G209" s="57" t="str">
        <f>IFERROR(__xludf.DUMMYFUNCTION("""COMPUTED_VALUE"""),"+7,4")</f>
        <v>+7,4</v>
      </c>
      <c r="H209" s="57" t="str">
        <f>IFERROR(__xludf.DUMMYFUNCTION("""COMPUTED_VALUE"""),"+0,81%")</f>
        <v>+0,81%</v>
      </c>
      <c r="I209" s="57" t="str">
        <f>IFERROR(__xludf.DUMMYFUNCTION("""COMPUTED_VALUE"""),"3,67M")</f>
        <v>3,67M</v>
      </c>
      <c r="J209" s="59">
        <f>IFERROR(__xludf.DUMMYFUNCTION("""COMPUTED_VALUE"""),44421.0)</f>
        <v>44421</v>
      </c>
      <c r="K209" s="57"/>
    </row>
    <row r="210">
      <c r="B210" s="57"/>
      <c r="C210" s="57" t="str">
        <f>IFERROR(__xludf.DUMMYFUNCTION("""COMPUTED_VALUE"""),"Maruha Nichiro Corp")</f>
        <v>Maruha Nichiro Corp</v>
      </c>
      <c r="D210" s="57" t="str">
        <f>IFERROR(__xludf.DUMMYFUNCTION("""COMPUTED_VALUE"""),"2.390,0")</f>
        <v>2.390,0</v>
      </c>
      <c r="E210" s="57" t="str">
        <f>IFERROR(__xludf.DUMMYFUNCTION("""COMPUTED_VALUE"""),"2.398,0")</f>
        <v>2.398,0</v>
      </c>
      <c r="F210" s="57" t="str">
        <f>IFERROR(__xludf.DUMMYFUNCTION("""COMPUTED_VALUE"""),"2.362,0")</f>
        <v>2.362,0</v>
      </c>
      <c r="G210" s="57">
        <f>IFERROR(__xludf.DUMMYFUNCTION("""COMPUTED_VALUE"""),-2.0)</f>
        <v>-2</v>
      </c>
      <c r="H210" s="32">
        <f>IFERROR(__xludf.DUMMYFUNCTION("""COMPUTED_VALUE"""),-8.0E-4)</f>
        <v>-0.0008</v>
      </c>
      <c r="I210" s="57" t="str">
        <f>IFERROR(__xludf.DUMMYFUNCTION("""COMPUTED_VALUE"""),"262,10K")</f>
        <v>262,10K</v>
      </c>
      <c r="J210" s="59">
        <f>IFERROR(__xludf.DUMMYFUNCTION("""COMPUTED_VALUE"""),44421.0)</f>
        <v>44421</v>
      </c>
      <c r="K210" s="57"/>
    </row>
    <row r="211">
      <c r="B211" s="57"/>
      <c r="C211" s="57" t="str">
        <f>IFERROR(__xludf.DUMMYFUNCTION("""COMPUTED_VALUE"""),"Marui Group")</f>
        <v>Marui Group</v>
      </c>
      <c r="D211" s="57" t="str">
        <f>IFERROR(__xludf.DUMMYFUNCTION("""COMPUTED_VALUE"""),"1.945,0")</f>
        <v>1.945,0</v>
      </c>
      <c r="E211" s="57" t="str">
        <f>IFERROR(__xludf.DUMMYFUNCTION("""COMPUTED_VALUE"""),"1.998,0")</f>
        <v>1.998,0</v>
      </c>
      <c r="F211" s="57" t="str">
        <f>IFERROR(__xludf.DUMMYFUNCTION("""COMPUTED_VALUE"""),"1.935,0")</f>
        <v>1.935,0</v>
      </c>
      <c r="G211" s="57">
        <f>IFERROR(__xludf.DUMMYFUNCTION("""COMPUTED_VALUE"""),-45.0)</f>
        <v>-45</v>
      </c>
      <c r="H211" s="32">
        <f>IFERROR(__xludf.DUMMYFUNCTION("""COMPUTED_VALUE"""),-0.0226)</f>
        <v>-0.0226</v>
      </c>
      <c r="I211" s="57" t="str">
        <f>IFERROR(__xludf.DUMMYFUNCTION("""COMPUTED_VALUE"""),"1,22M")</f>
        <v>1,22M</v>
      </c>
      <c r="J211" s="59">
        <f>IFERROR(__xludf.DUMMYFUNCTION("""COMPUTED_VALUE"""),44421.0)</f>
        <v>44421</v>
      </c>
      <c r="K211" s="57"/>
    </row>
    <row r="212">
      <c r="B212" s="57"/>
      <c r="C212" s="57" t="str">
        <f>IFERROR(__xludf.DUMMYFUNCTION("""COMPUTED_VALUE"""),"Matsui Securities")</f>
        <v>Matsui Securities</v>
      </c>
      <c r="D212" s="57">
        <f>IFERROR(__xludf.DUMMYFUNCTION("""COMPUTED_VALUE"""),804.0)</f>
        <v>804</v>
      </c>
      <c r="E212" s="57">
        <f>IFERROR(__xludf.DUMMYFUNCTION("""COMPUTED_VALUE"""),809.0)</f>
        <v>809</v>
      </c>
      <c r="F212" s="57">
        <f>IFERROR(__xludf.DUMMYFUNCTION("""COMPUTED_VALUE"""),802.0)</f>
        <v>802</v>
      </c>
      <c r="G212" s="57" t="str">
        <f>IFERROR(__xludf.DUMMYFUNCTION("""COMPUTED_VALUE"""),"+2,0")</f>
        <v>+2,0</v>
      </c>
      <c r="H212" s="57" t="str">
        <f>IFERROR(__xludf.DUMMYFUNCTION("""COMPUTED_VALUE"""),"+0,25%")</f>
        <v>+0,25%</v>
      </c>
      <c r="I212" s="57" t="str">
        <f>IFERROR(__xludf.DUMMYFUNCTION("""COMPUTED_VALUE"""),"567,80K")</f>
        <v>567,80K</v>
      </c>
      <c r="J212" s="59">
        <f>IFERROR(__xludf.DUMMYFUNCTION("""COMPUTED_VALUE"""),44421.0)</f>
        <v>44421</v>
      </c>
      <c r="K212" s="57"/>
    </row>
    <row r="213">
      <c r="B213" s="57"/>
      <c r="C213" s="57" t="str">
        <f>IFERROR(__xludf.DUMMYFUNCTION("""COMPUTED_VALUE"""),"Mazda Motor")</f>
        <v>Mazda Motor</v>
      </c>
      <c r="D213" s="57" t="str">
        <f>IFERROR(__xludf.DUMMYFUNCTION("""COMPUTED_VALUE"""),"1.018,0")</f>
        <v>1.018,0</v>
      </c>
      <c r="E213" s="57" t="str">
        <f>IFERROR(__xludf.DUMMYFUNCTION("""COMPUTED_VALUE"""),"1.021,0")</f>
        <v>1.021,0</v>
      </c>
      <c r="F213" s="57" t="str">
        <f>IFERROR(__xludf.DUMMYFUNCTION("""COMPUTED_VALUE"""),"1.007,0")</f>
        <v>1.007,0</v>
      </c>
      <c r="G213" s="57" t="str">
        <f>IFERROR(__xludf.DUMMYFUNCTION("""COMPUTED_VALUE"""),"+2,0")</f>
        <v>+2,0</v>
      </c>
      <c r="H213" s="57" t="str">
        <f>IFERROR(__xludf.DUMMYFUNCTION("""COMPUTED_VALUE"""),"+0,20%")</f>
        <v>+0,20%</v>
      </c>
      <c r="I213" s="57" t="str">
        <f>IFERROR(__xludf.DUMMYFUNCTION("""COMPUTED_VALUE"""),"2,20M")</f>
        <v>2,20M</v>
      </c>
      <c r="J213" s="59">
        <f>IFERROR(__xludf.DUMMYFUNCTION("""COMPUTED_VALUE"""),44421.0)</f>
        <v>44421</v>
      </c>
      <c r="K213" s="57"/>
    </row>
    <row r="214">
      <c r="B214" s="57"/>
      <c r="C214" s="57" t="str">
        <f>IFERROR(__xludf.DUMMYFUNCTION("""COMPUTED_VALUE"""),"Meiji Holdings")</f>
        <v>Meiji Holdings</v>
      </c>
      <c r="D214" s="57" t="str">
        <f>IFERROR(__xludf.DUMMYFUNCTION("""COMPUTED_VALUE"""),"6.640,0")</f>
        <v>6.640,0</v>
      </c>
      <c r="E214" s="57" t="str">
        <f>IFERROR(__xludf.DUMMYFUNCTION("""COMPUTED_VALUE"""),"6.760,0")</f>
        <v>6.760,0</v>
      </c>
      <c r="F214" s="57" t="str">
        <f>IFERROR(__xludf.DUMMYFUNCTION("""COMPUTED_VALUE"""),"6.620,0")</f>
        <v>6.620,0</v>
      </c>
      <c r="G214" s="57">
        <f>IFERROR(__xludf.DUMMYFUNCTION("""COMPUTED_VALUE"""),0.0)</f>
        <v>0</v>
      </c>
      <c r="H214" s="32">
        <f>IFERROR(__xludf.DUMMYFUNCTION("""COMPUTED_VALUE"""),0.0)</f>
        <v>0</v>
      </c>
      <c r="I214" s="57" t="str">
        <f>IFERROR(__xludf.DUMMYFUNCTION("""COMPUTED_VALUE"""),"725,90K")</f>
        <v>725,90K</v>
      </c>
      <c r="J214" s="59">
        <f>IFERROR(__xludf.DUMMYFUNCTION("""COMPUTED_VALUE"""),44421.0)</f>
        <v>44421</v>
      </c>
      <c r="K214" s="57"/>
    </row>
    <row r="215">
      <c r="B215" s="57"/>
      <c r="C215" s="57" t="str">
        <f>IFERROR(__xludf.DUMMYFUNCTION("""COMPUTED_VALUE"""),"Minebea Mitsumi")</f>
        <v>Minebea Mitsumi</v>
      </c>
      <c r="D215" s="57" t="str">
        <f>IFERROR(__xludf.DUMMYFUNCTION("""COMPUTED_VALUE"""),"2.950,0")</f>
        <v>2.950,0</v>
      </c>
      <c r="E215" s="57" t="str">
        <f>IFERROR(__xludf.DUMMYFUNCTION("""COMPUTED_VALUE"""),"2.987,0")</f>
        <v>2.987,0</v>
      </c>
      <c r="F215" s="57" t="str">
        <f>IFERROR(__xludf.DUMMYFUNCTION("""COMPUTED_VALUE"""),"2.911,0")</f>
        <v>2.911,0</v>
      </c>
      <c r="G215" s="57">
        <f>IFERROR(__xludf.DUMMYFUNCTION("""COMPUTED_VALUE"""),-42.0)</f>
        <v>-42</v>
      </c>
      <c r="H215" s="32">
        <f>IFERROR(__xludf.DUMMYFUNCTION("""COMPUTED_VALUE"""),-0.014)</f>
        <v>-0.014</v>
      </c>
      <c r="I215" s="57" t="str">
        <f>IFERROR(__xludf.DUMMYFUNCTION("""COMPUTED_VALUE"""),"2,34M")</f>
        <v>2,34M</v>
      </c>
      <c r="J215" s="59">
        <f>IFERROR(__xludf.DUMMYFUNCTION("""COMPUTED_VALUE"""),44421.0)</f>
        <v>44421</v>
      </c>
      <c r="K215" s="57"/>
    </row>
    <row r="216">
      <c r="B216" s="57"/>
      <c r="C216" s="57" t="str">
        <f>IFERROR(__xludf.DUMMYFUNCTION("""COMPUTED_VALUE"""),"Mitsubishi Chemical Holdings Corp")</f>
        <v>Mitsubishi Chemical Holdings Corp</v>
      </c>
      <c r="D216" s="57">
        <f>IFERROR(__xludf.DUMMYFUNCTION("""COMPUTED_VALUE"""),956.5)</f>
        <v>956.5</v>
      </c>
      <c r="E216" s="57">
        <f>IFERROR(__xludf.DUMMYFUNCTION("""COMPUTED_VALUE"""),969.8)</f>
        <v>969.8</v>
      </c>
      <c r="F216" s="57">
        <f>IFERROR(__xludf.DUMMYFUNCTION("""COMPUTED_VALUE"""),956.0)</f>
        <v>956</v>
      </c>
      <c r="G216" s="57">
        <f>IFERROR(__xludf.DUMMYFUNCTION("""COMPUTED_VALUE"""),-6.5)</f>
        <v>-6.5</v>
      </c>
      <c r="H216" s="32">
        <f>IFERROR(__xludf.DUMMYFUNCTION("""COMPUTED_VALUE"""),-0.0067)</f>
        <v>-0.0067</v>
      </c>
      <c r="I216" s="57" t="str">
        <f>IFERROR(__xludf.DUMMYFUNCTION("""COMPUTED_VALUE"""),"5,59M")</f>
        <v>5,59M</v>
      </c>
      <c r="J216" s="59">
        <f>IFERROR(__xludf.DUMMYFUNCTION("""COMPUTED_VALUE"""),44421.0)</f>
        <v>44421</v>
      </c>
      <c r="K216" s="57"/>
    </row>
    <row r="217">
      <c r="B217" s="57"/>
      <c r="C217" s="57" t="str">
        <f>IFERROR(__xludf.DUMMYFUNCTION("""COMPUTED_VALUE"""),"Mitsubishi Corp.")</f>
        <v>Mitsubishi Corp.</v>
      </c>
      <c r="D217" s="57" t="str">
        <f>IFERROR(__xludf.DUMMYFUNCTION("""COMPUTED_VALUE"""),"3.308,0")</f>
        <v>3.308,0</v>
      </c>
      <c r="E217" s="57" t="str">
        <f>IFERROR(__xludf.DUMMYFUNCTION("""COMPUTED_VALUE"""),"3.314,0")</f>
        <v>3.314,0</v>
      </c>
      <c r="F217" s="57" t="str">
        <f>IFERROR(__xludf.DUMMYFUNCTION("""COMPUTED_VALUE"""),"3.283,0")</f>
        <v>3.283,0</v>
      </c>
      <c r="G217" s="57" t="str">
        <f>IFERROR(__xludf.DUMMYFUNCTION("""COMPUTED_VALUE"""),"+14,0")</f>
        <v>+14,0</v>
      </c>
      <c r="H217" s="57" t="str">
        <f>IFERROR(__xludf.DUMMYFUNCTION("""COMPUTED_VALUE"""),"+0,43%")</f>
        <v>+0,43%</v>
      </c>
      <c r="I217" s="57" t="str">
        <f>IFERROR(__xludf.DUMMYFUNCTION("""COMPUTED_VALUE"""),"2,79M")</f>
        <v>2,79M</v>
      </c>
      <c r="J217" s="59">
        <f>IFERROR(__xludf.DUMMYFUNCTION("""COMPUTED_VALUE"""),44421.0)</f>
        <v>44421</v>
      </c>
      <c r="K217" s="57"/>
    </row>
    <row r="218">
      <c r="B218" s="57"/>
      <c r="C218" s="57" t="str">
        <f>IFERROR(__xludf.DUMMYFUNCTION("""COMPUTED_VALUE"""),"Mitsubishi Electric")</f>
        <v>Mitsubishi Electric</v>
      </c>
      <c r="D218" s="57" t="str">
        <f>IFERROR(__xludf.DUMMYFUNCTION("""COMPUTED_VALUE"""),"1.514,0")</f>
        <v>1.514,0</v>
      </c>
      <c r="E218" s="57" t="str">
        <f>IFERROR(__xludf.DUMMYFUNCTION("""COMPUTED_VALUE"""),"1.522,0")</f>
        <v>1.522,0</v>
      </c>
      <c r="F218" s="57" t="str">
        <f>IFERROR(__xludf.DUMMYFUNCTION("""COMPUTED_VALUE"""),"1.511,0")</f>
        <v>1.511,0</v>
      </c>
      <c r="G218" s="57" t="str">
        <f>IFERROR(__xludf.DUMMYFUNCTION("""COMPUTED_VALUE"""),"+0,5")</f>
        <v>+0,5</v>
      </c>
      <c r="H218" s="57" t="str">
        <f>IFERROR(__xludf.DUMMYFUNCTION("""COMPUTED_VALUE"""),"+0,03%")</f>
        <v>+0,03%</v>
      </c>
      <c r="I218" s="57" t="str">
        <f>IFERROR(__xludf.DUMMYFUNCTION("""COMPUTED_VALUE"""),"3,81M")</f>
        <v>3,81M</v>
      </c>
      <c r="J218" s="59">
        <f>IFERROR(__xludf.DUMMYFUNCTION("""COMPUTED_VALUE"""),44421.0)</f>
        <v>44421</v>
      </c>
      <c r="K218" s="57"/>
    </row>
    <row r="219">
      <c r="B219" s="57"/>
      <c r="C219" s="57" t="str">
        <f>IFERROR(__xludf.DUMMYFUNCTION("""COMPUTED_VALUE"""),"Mitsubishi Estate")</f>
        <v>Mitsubishi Estate</v>
      </c>
      <c r="D219" s="57" t="str">
        <f>IFERROR(__xludf.DUMMYFUNCTION("""COMPUTED_VALUE"""),"1.732,0")</f>
        <v>1.732,0</v>
      </c>
      <c r="E219" s="57" t="str">
        <f>IFERROR(__xludf.DUMMYFUNCTION("""COMPUTED_VALUE"""),"1.744,5")</f>
        <v>1.744,5</v>
      </c>
      <c r="F219" s="57" t="str">
        <f>IFERROR(__xludf.DUMMYFUNCTION("""COMPUTED_VALUE"""),"1.728,5")</f>
        <v>1.728,5</v>
      </c>
      <c r="G219" s="57">
        <f>IFERROR(__xludf.DUMMYFUNCTION("""COMPUTED_VALUE"""),-3.5)</f>
        <v>-3.5</v>
      </c>
      <c r="H219" s="32">
        <f>IFERROR(__xludf.DUMMYFUNCTION("""COMPUTED_VALUE"""),-0.002)</f>
        <v>-0.002</v>
      </c>
      <c r="I219" s="57" t="str">
        <f>IFERROR(__xludf.DUMMYFUNCTION("""COMPUTED_VALUE"""),"2,98M")</f>
        <v>2,98M</v>
      </c>
      <c r="J219" s="59">
        <f>IFERROR(__xludf.DUMMYFUNCTION("""COMPUTED_VALUE"""),44421.0)</f>
        <v>44421</v>
      </c>
      <c r="K219" s="57"/>
    </row>
    <row r="220">
      <c r="B220" s="57"/>
      <c r="C220" s="57" t="str">
        <f>IFERROR(__xludf.DUMMYFUNCTION("""COMPUTED_VALUE"""),"Mitsubishi Heavy Industries")</f>
        <v>Mitsubishi Heavy Industries</v>
      </c>
      <c r="D220" s="57" t="str">
        <f>IFERROR(__xludf.DUMMYFUNCTION("""COMPUTED_VALUE"""),"3.018,0")</f>
        <v>3.018,0</v>
      </c>
      <c r="E220" s="57" t="str">
        <f>IFERROR(__xludf.DUMMYFUNCTION("""COMPUTED_VALUE"""),"3.047,0")</f>
        <v>3.047,0</v>
      </c>
      <c r="F220" s="57" t="str">
        <f>IFERROR(__xludf.DUMMYFUNCTION("""COMPUTED_VALUE"""),"3.003,0")</f>
        <v>3.003,0</v>
      </c>
      <c r="G220" s="57">
        <f>IFERROR(__xludf.DUMMYFUNCTION("""COMPUTED_VALUE"""),-44.0)</f>
        <v>-44</v>
      </c>
      <c r="H220" s="32">
        <f>IFERROR(__xludf.DUMMYFUNCTION("""COMPUTED_VALUE"""),-0.0144)</f>
        <v>-0.0144</v>
      </c>
      <c r="I220" s="57" t="str">
        <f>IFERROR(__xludf.DUMMYFUNCTION("""COMPUTED_VALUE"""),"1,75M")</f>
        <v>1,75M</v>
      </c>
      <c r="J220" s="59">
        <f>IFERROR(__xludf.DUMMYFUNCTION("""COMPUTED_VALUE"""),44421.0)</f>
        <v>44421</v>
      </c>
      <c r="K220" s="57"/>
    </row>
    <row r="221">
      <c r="B221" s="57"/>
      <c r="C221" s="57" t="str">
        <f>IFERROR(__xludf.DUMMYFUNCTION("""COMPUTED_VALUE"""),"Mitsubishi Logistics Corp.")</f>
        <v>Mitsubishi Logistics Corp.</v>
      </c>
      <c r="D221" s="57" t="str">
        <f>IFERROR(__xludf.DUMMYFUNCTION("""COMPUTED_VALUE"""),"3.195,0")</f>
        <v>3.195,0</v>
      </c>
      <c r="E221" s="57" t="str">
        <f>IFERROR(__xludf.DUMMYFUNCTION("""COMPUTED_VALUE"""),"3.260,0")</f>
        <v>3.260,0</v>
      </c>
      <c r="F221" s="57" t="str">
        <f>IFERROR(__xludf.DUMMYFUNCTION("""COMPUTED_VALUE"""),"3.165,0")</f>
        <v>3.165,0</v>
      </c>
      <c r="G221" s="57">
        <f>IFERROR(__xludf.DUMMYFUNCTION("""COMPUTED_VALUE"""),-15.0)</f>
        <v>-15</v>
      </c>
      <c r="H221" s="32">
        <f>IFERROR(__xludf.DUMMYFUNCTION("""COMPUTED_VALUE"""),-0.0047)</f>
        <v>-0.0047</v>
      </c>
      <c r="I221" s="57" t="str">
        <f>IFERROR(__xludf.DUMMYFUNCTION("""COMPUTED_VALUE"""),"298,00K")</f>
        <v>298,00K</v>
      </c>
      <c r="J221" s="59">
        <f>IFERROR(__xludf.DUMMYFUNCTION("""COMPUTED_VALUE"""),44421.0)</f>
        <v>44421</v>
      </c>
      <c r="K221" s="57"/>
    </row>
    <row r="222">
      <c r="B222" s="57"/>
      <c r="C222" s="57" t="str">
        <f>IFERROR(__xludf.DUMMYFUNCTION("""COMPUTED_VALUE"""),"Mitsubishi Materials Corp.")</f>
        <v>Mitsubishi Materials Corp.</v>
      </c>
      <c r="D222" s="57" t="str">
        <f>IFERROR(__xludf.DUMMYFUNCTION("""COMPUTED_VALUE"""),"2.398,0")</f>
        <v>2.398,0</v>
      </c>
      <c r="E222" s="57" t="str">
        <f>IFERROR(__xludf.DUMMYFUNCTION("""COMPUTED_VALUE"""),"2.406,0")</f>
        <v>2.406,0</v>
      </c>
      <c r="F222" s="57" t="str">
        <f>IFERROR(__xludf.DUMMYFUNCTION("""COMPUTED_VALUE"""),"2.379,0")</f>
        <v>2.379,0</v>
      </c>
      <c r="G222" s="57" t="str">
        <f>IFERROR(__xludf.DUMMYFUNCTION("""COMPUTED_VALUE"""),"+4,0")</f>
        <v>+4,0</v>
      </c>
      <c r="H222" s="57" t="str">
        <f>IFERROR(__xludf.DUMMYFUNCTION("""COMPUTED_VALUE"""),"+0,17%")</f>
        <v>+0,17%</v>
      </c>
      <c r="I222" s="57" t="str">
        <f>IFERROR(__xludf.DUMMYFUNCTION("""COMPUTED_VALUE"""),"447,60K")</f>
        <v>447,60K</v>
      </c>
      <c r="J222" s="59">
        <f>IFERROR(__xludf.DUMMYFUNCTION("""COMPUTED_VALUE"""),44421.0)</f>
        <v>44421</v>
      </c>
      <c r="K222" s="57"/>
    </row>
    <row r="223">
      <c r="B223" s="57"/>
      <c r="C223" s="57" t="str">
        <f>IFERROR(__xludf.DUMMYFUNCTION("""COMPUTED_VALUE"""),"Mitsubishi Motors Corp.")</f>
        <v>Mitsubishi Motors Corp.</v>
      </c>
      <c r="D223" s="57">
        <f>IFERROR(__xludf.DUMMYFUNCTION("""COMPUTED_VALUE"""),305.0)</f>
        <v>305</v>
      </c>
      <c r="E223" s="57">
        <f>IFERROR(__xludf.DUMMYFUNCTION("""COMPUTED_VALUE"""),305.0)</f>
        <v>305</v>
      </c>
      <c r="F223" s="57">
        <f>IFERROR(__xludf.DUMMYFUNCTION("""COMPUTED_VALUE"""),301.0)</f>
        <v>301</v>
      </c>
      <c r="G223" s="57">
        <f>IFERROR(__xludf.DUMMYFUNCTION("""COMPUTED_VALUE"""),-1.0)</f>
        <v>-1</v>
      </c>
      <c r="H223" s="32">
        <f>IFERROR(__xludf.DUMMYFUNCTION("""COMPUTED_VALUE"""),-0.0033)</f>
        <v>-0.0033</v>
      </c>
      <c r="I223" s="57" t="str">
        <f>IFERROR(__xludf.DUMMYFUNCTION("""COMPUTED_VALUE"""),"8,38M")</f>
        <v>8,38M</v>
      </c>
      <c r="J223" s="59">
        <f>IFERROR(__xludf.DUMMYFUNCTION("""COMPUTED_VALUE"""),44421.0)</f>
        <v>44421</v>
      </c>
      <c r="K223" s="57"/>
    </row>
    <row r="224">
      <c r="B224" s="57"/>
      <c r="C224" s="57" t="str">
        <f>IFERROR(__xludf.DUMMYFUNCTION("""COMPUTED_VALUE"""),"Mitsubishi UFJ Financial")</f>
        <v>Mitsubishi UFJ Financial</v>
      </c>
      <c r="D224" s="57">
        <f>IFERROR(__xludf.DUMMYFUNCTION("""COMPUTED_VALUE"""),610.5)</f>
        <v>610.5</v>
      </c>
      <c r="E224" s="57">
        <f>IFERROR(__xludf.DUMMYFUNCTION("""COMPUTED_VALUE"""),618.0)</f>
        <v>618</v>
      </c>
      <c r="F224" s="57">
        <f>IFERROR(__xludf.DUMMYFUNCTION("""COMPUTED_VALUE"""),610.2)</f>
        <v>610.2</v>
      </c>
      <c r="G224" s="57">
        <f>IFERROR(__xludf.DUMMYFUNCTION("""COMPUTED_VALUE"""),-3.6)</f>
        <v>-3.6</v>
      </c>
      <c r="H224" s="32">
        <f>IFERROR(__xludf.DUMMYFUNCTION("""COMPUTED_VALUE"""),-0.0059)</f>
        <v>-0.0059</v>
      </c>
      <c r="I224" s="57" t="str">
        <f>IFERROR(__xludf.DUMMYFUNCTION("""COMPUTED_VALUE"""),"32,36M")</f>
        <v>32,36M</v>
      </c>
      <c r="J224" s="59">
        <f>IFERROR(__xludf.DUMMYFUNCTION("""COMPUTED_VALUE"""),44421.0)</f>
        <v>44421</v>
      </c>
      <c r="K224" s="57"/>
    </row>
    <row r="225">
      <c r="B225" s="57"/>
      <c r="C225" s="57" t="str">
        <f>IFERROR(__xludf.DUMMYFUNCTION("""COMPUTED_VALUE"""),"Mitsui")</f>
        <v>Mitsui</v>
      </c>
      <c r="D225" s="57" t="str">
        <f>IFERROR(__xludf.DUMMYFUNCTION("""COMPUTED_VALUE"""),"2.633,5")</f>
        <v>2.633,5</v>
      </c>
      <c r="E225" s="57" t="str">
        <f>IFERROR(__xludf.DUMMYFUNCTION("""COMPUTED_VALUE"""),"2.648,0")</f>
        <v>2.648,0</v>
      </c>
      <c r="F225" s="57" t="str">
        <f>IFERROR(__xludf.DUMMYFUNCTION("""COMPUTED_VALUE"""),"2.617,5")</f>
        <v>2.617,5</v>
      </c>
      <c r="G225" s="57" t="str">
        <f>IFERROR(__xludf.DUMMYFUNCTION("""COMPUTED_VALUE"""),"+18,5")</f>
        <v>+18,5</v>
      </c>
      <c r="H225" s="57" t="str">
        <f>IFERROR(__xludf.DUMMYFUNCTION("""COMPUTED_VALUE"""),"+0,71%")</f>
        <v>+0,71%</v>
      </c>
      <c r="I225" s="57" t="str">
        <f>IFERROR(__xludf.DUMMYFUNCTION("""COMPUTED_VALUE"""),"3,15M")</f>
        <v>3,15M</v>
      </c>
      <c r="J225" s="59">
        <f>IFERROR(__xludf.DUMMYFUNCTION("""COMPUTED_VALUE"""),44421.0)</f>
        <v>44421</v>
      </c>
      <c r="K225" s="57"/>
    </row>
    <row r="226">
      <c r="B226" s="57"/>
      <c r="C226" s="57" t="str">
        <f>IFERROR(__xludf.DUMMYFUNCTION("""COMPUTED_VALUE"""),"Mitsui Chemicals, Inc.")</f>
        <v>Mitsui Chemicals, Inc.</v>
      </c>
      <c r="D226" s="57" t="str">
        <f>IFERROR(__xludf.DUMMYFUNCTION("""COMPUTED_VALUE"""),"3.890,0")</f>
        <v>3.890,0</v>
      </c>
      <c r="E226" s="57" t="str">
        <f>IFERROR(__xludf.DUMMYFUNCTION("""COMPUTED_VALUE"""),"3.925,0")</f>
        <v>3.925,0</v>
      </c>
      <c r="F226" s="57" t="str">
        <f>IFERROR(__xludf.DUMMYFUNCTION("""COMPUTED_VALUE"""),"3.795,0")</f>
        <v>3.795,0</v>
      </c>
      <c r="G226" s="57" t="str">
        <f>IFERROR(__xludf.DUMMYFUNCTION("""COMPUTED_VALUE"""),"+65,0")</f>
        <v>+65,0</v>
      </c>
      <c r="H226" s="57" t="str">
        <f>IFERROR(__xludf.DUMMYFUNCTION("""COMPUTED_VALUE"""),"+1,70%")</f>
        <v>+1,70%</v>
      </c>
      <c r="I226" s="57" t="str">
        <f>IFERROR(__xludf.DUMMYFUNCTION("""COMPUTED_VALUE"""),"1,11M")</f>
        <v>1,11M</v>
      </c>
      <c r="J226" s="59">
        <f>IFERROR(__xludf.DUMMYFUNCTION("""COMPUTED_VALUE"""),44421.0)</f>
        <v>44421</v>
      </c>
      <c r="K226" s="57"/>
    </row>
    <row r="227">
      <c r="B227" s="57"/>
      <c r="C227" s="57" t="str">
        <f>IFERROR(__xludf.DUMMYFUNCTION("""COMPUTED_VALUE"""),"Mitsui Engineering &amp; Shipbuilding")</f>
        <v>Mitsui Engineering &amp; Shipbuilding</v>
      </c>
      <c r="D227" s="57">
        <f>IFERROR(__xludf.DUMMYFUNCTION("""COMPUTED_VALUE"""),536.0)</f>
        <v>536</v>
      </c>
      <c r="E227" s="57">
        <f>IFERROR(__xludf.DUMMYFUNCTION("""COMPUTED_VALUE"""),541.0)</f>
        <v>541</v>
      </c>
      <c r="F227" s="57">
        <f>IFERROR(__xludf.DUMMYFUNCTION("""COMPUTED_VALUE"""),517.0)</f>
        <v>517</v>
      </c>
      <c r="G227" s="57" t="str">
        <f>IFERROR(__xludf.DUMMYFUNCTION("""COMPUTED_VALUE"""),"+10,0")</f>
        <v>+10,0</v>
      </c>
      <c r="H227" s="57" t="str">
        <f>IFERROR(__xludf.DUMMYFUNCTION("""COMPUTED_VALUE"""),"+1,90%")</f>
        <v>+1,90%</v>
      </c>
      <c r="I227" s="57" t="str">
        <f>IFERROR(__xludf.DUMMYFUNCTION("""COMPUTED_VALUE"""),"2,29M")</f>
        <v>2,29M</v>
      </c>
      <c r="J227" s="59">
        <f>IFERROR(__xludf.DUMMYFUNCTION("""COMPUTED_VALUE"""),44421.0)</f>
        <v>44421</v>
      </c>
      <c r="K227" s="57"/>
    </row>
    <row r="228">
      <c r="B228" s="57"/>
      <c r="C228" s="57" t="str">
        <f>IFERROR(__xludf.DUMMYFUNCTION("""COMPUTED_VALUE"""),"Mitsui Fudosan")</f>
        <v>Mitsui Fudosan</v>
      </c>
      <c r="D228" s="57" t="str">
        <f>IFERROR(__xludf.DUMMYFUNCTION("""COMPUTED_VALUE"""),"2.516,5")</f>
        <v>2.516,5</v>
      </c>
      <c r="E228" s="57" t="str">
        <f>IFERROR(__xludf.DUMMYFUNCTION("""COMPUTED_VALUE"""),"2.535,0")</f>
        <v>2.535,0</v>
      </c>
      <c r="F228" s="57" t="str">
        <f>IFERROR(__xludf.DUMMYFUNCTION("""COMPUTED_VALUE"""),"2.507,0")</f>
        <v>2.507,0</v>
      </c>
      <c r="G228" s="57">
        <f>IFERROR(__xludf.DUMMYFUNCTION("""COMPUTED_VALUE"""),-12.0)</f>
        <v>-12</v>
      </c>
      <c r="H228" s="32">
        <f>IFERROR(__xludf.DUMMYFUNCTION("""COMPUTED_VALUE"""),-0.0047)</f>
        <v>-0.0047</v>
      </c>
      <c r="I228" s="57" t="str">
        <f>IFERROR(__xludf.DUMMYFUNCTION("""COMPUTED_VALUE"""),"1,88M")</f>
        <v>1,88M</v>
      </c>
      <c r="J228" s="59">
        <f>IFERROR(__xludf.DUMMYFUNCTION("""COMPUTED_VALUE"""),44421.0)</f>
        <v>44421</v>
      </c>
      <c r="K228" s="57"/>
    </row>
    <row r="229">
      <c r="B229" s="57"/>
      <c r="C229" s="57" t="str">
        <f>IFERROR(__xludf.DUMMYFUNCTION("""COMPUTED_VALUE"""),"Mitsui Mining and Smelting Co.")</f>
        <v>Mitsui Mining and Smelting Co.</v>
      </c>
      <c r="D229" s="57" t="str">
        <f>IFERROR(__xludf.DUMMYFUNCTION("""COMPUTED_VALUE"""),"3.575,0")</f>
        <v>3.575,0</v>
      </c>
      <c r="E229" s="57" t="str">
        <f>IFERROR(__xludf.DUMMYFUNCTION("""COMPUTED_VALUE"""),"3.625,0")</f>
        <v>3.625,0</v>
      </c>
      <c r="F229" s="57" t="str">
        <f>IFERROR(__xludf.DUMMYFUNCTION("""COMPUTED_VALUE"""),"3.530,0")</f>
        <v>3.530,0</v>
      </c>
      <c r="G229" s="57" t="str">
        <f>IFERROR(__xludf.DUMMYFUNCTION("""COMPUTED_VALUE"""),"+10,0")</f>
        <v>+10,0</v>
      </c>
      <c r="H229" s="57" t="str">
        <f>IFERROR(__xludf.DUMMYFUNCTION("""COMPUTED_VALUE"""),"+0,28%")</f>
        <v>+0,28%</v>
      </c>
      <c r="I229" s="57" t="str">
        <f>IFERROR(__xludf.DUMMYFUNCTION("""COMPUTED_VALUE"""),"822,10K")</f>
        <v>822,10K</v>
      </c>
      <c r="J229" s="59">
        <f>IFERROR(__xludf.DUMMYFUNCTION("""COMPUTED_VALUE"""),44421.0)</f>
        <v>44421</v>
      </c>
      <c r="K229" s="57"/>
    </row>
    <row r="230">
      <c r="B230" s="57"/>
      <c r="C230" s="57" t="str">
        <f>IFERROR(__xludf.DUMMYFUNCTION("""COMPUTED_VALUE"""),"Mitsui O.S.K. Lines")</f>
        <v>Mitsui O.S.K. Lines</v>
      </c>
      <c r="D230" s="57" t="str">
        <f>IFERROR(__xludf.DUMMYFUNCTION("""COMPUTED_VALUE"""),"7.300,0")</f>
        <v>7.300,0</v>
      </c>
      <c r="E230" s="57" t="str">
        <f>IFERROR(__xludf.DUMMYFUNCTION("""COMPUTED_VALUE"""),"7.420,0")</f>
        <v>7.420,0</v>
      </c>
      <c r="F230" s="57" t="str">
        <f>IFERROR(__xludf.DUMMYFUNCTION("""COMPUTED_VALUE"""),"7.200,0")</f>
        <v>7.200,0</v>
      </c>
      <c r="G230" s="57">
        <f>IFERROR(__xludf.DUMMYFUNCTION("""COMPUTED_VALUE"""),-40.0)</f>
        <v>-40</v>
      </c>
      <c r="H230" s="32">
        <f>IFERROR(__xludf.DUMMYFUNCTION("""COMPUTED_VALUE"""),-0.0054)</f>
        <v>-0.0054</v>
      </c>
      <c r="I230" s="57" t="str">
        <f>IFERROR(__xludf.DUMMYFUNCTION("""COMPUTED_VALUE"""),"3,66M")</f>
        <v>3,66M</v>
      </c>
      <c r="J230" s="59">
        <f>IFERROR(__xludf.DUMMYFUNCTION("""COMPUTED_VALUE"""),44421.0)</f>
        <v>44421</v>
      </c>
      <c r="K230" s="57"/>
    </row>
    <row r="231">
      <c r="B231" s="57"/>
      <c r="C231" s="57" t="str">
        <f>IFERROR(__xludf.DUMMYFUNCTION("""COMPUTED_VALUE"""),"Mizuho Financial")</f>
        <v>Mizuho Financial</v>
      </c>
      <c r="D231" s="57" t="str">
        <f>IFERROR(__xludf.DUMMYFUNCTION("""COMPUTED_VALUE"""),"1.630,5")</f>
        <v>1.630,5</v>
      </c>
      <c r="E231" s="57" t="str">
        <f>IFERROR(__xludf.DUMMYFUNCTION("""COMPUTED_VALUE"""),"1.639,5")</f>
        <v>1.639,5</v>
      </c>
      <c r="F231" s="57" t="str">
        <f>IFERROR(__xludf.DUMMYFUNCTION("""COMPUTED_VALUE"""),"1.630,0")</f>
        <v>1.630,0</v>
      </c>
      <c r="G231" s="57">
        <f>IFERROR(__xludf.DUMMYFUNCTION("""COMPUTED_VALUE"""),-2.5)</f>
        <v>-2.5</v>
      </c>
      <c r="H231" s="32">
        <f>IFERROR(__xludf.DUMMYFUNCTION("""COMPUTED_VALUE"""),-0.0015)</f>
        <v>-0.0015</v>
      </c>
      <c r="I231" s="57" t="str">
        <f>IFERROR(__xludf.DUMMYFUNCTION("""COMPUTED_VALUE"""),"3,82M")</f>
        <v>3,82M</v>
      </c>
      <c r="J231" s="59">
        <f>IFERROR(__xludf.DUMMYFUNCTION("""COMPUTED_VALUE"""),44421.0)</f>
        <v>44421</v>
      </c>
      <c r="K231" s="57"/>
    </row>
    <row r="232">
      <c r="B232" s="57"/>
      <c r="C232" s="57" t="str">
        <f>IFERROR(__xludf.DUMMYFUNCTION("""COMPUTED_VALUE"""),"MS&amp;AD Insurance Group Holdings")</f>
        <v>MS&amp;AD Insurance Group Holdings</v>
      </c>
      <c r="D232" s="57" t="str">
        <f>IFERROR(__xludf.DUMMYFUNCTION("""COMPUTED_VALUE"""),"3.536,0")</f>
        <v>3.536,0</v>
      </c>
      <c r="E232" s="57" t="str">
        <f>IFERROR(__xludf.DUMMYFUNCTION("""COMPUTED_VALUE"""),"3.554,0")</f>
        <v>3.554,0</v>
      </c>
      <c r="F232" s="57" t="str">
        <f>IFERROR(__xludf.DUMMYFUNCTION("""COMPUTED_VALUE"""),"3.526,0")</f>
        <v>3.526,0</v>
      </c>
      <c r="G232" s="57" t="str">
        <f>IFERROR(__xludf.DUMMYFUNCTION("""COMPUTED_VALUE"""),"+4,0")</f>
        <v>+4,0</v>
      </c>
      <c r="H232" s="57" t="str">
        <f>IFERROR(__xludf.DUMMYFUNCTION("""COMPUTED_VALUE"""),"+0,11%")</f>
        <v>+0,11%</v>
      </c>
      <c r="I232" s="57" t="str">
        <f>IFERROR(__xludf.DUMMYFUNCTION("""COMPUTED_VALUE"""),"915,00K")</f>
        <v>915,00K</v>
      </c>
      <c r="J232" s="59">
        <f>IFERROR(__xludf.DUMMYFUNCTION("""COMPUTED_VALUE"""),44421.0)</f>
        <v>44421</v>
      </c>
      <c r="K232" s="57"/>
    </row>
    <row r="233">
      <c r="B233" s="57"/>
      <c r="C233" s="57" t="str">
        <f>IFERROR(__xludf.DUMMYFUNCTION("""COMPUTED_VALUE"""),"NEC Corp.")</f>
        <v>NEC Corp.</v>
      </c>
      <c r="D233" s="57" t="str">
        <f>IFERROR(__xludf.DUMMYFUNCTION("""COMPUTED_VALUE"""),"5.620,0")</f>
        <v>5.620,0</v>
      </c>
      <c r="E233" s="57" t="str">
        <f>IFERROR(__xludf.DUMMYFUNCTION("""COMPUTED_VALUE"""),"5.710,0")</f>
        <v>5.710,0</v>
      </c>
      <c r="F233" s="57" t="str">
        <f>IFERROR(__xludf.DUMMYFUNCTION("""COMPUTED_VALUE"""),"5.620,0")</f>
        <v>5.620,0</v>
      </c>
      <c r="G233" s="57">
        <f>IFERROR(__xludf.DUMMYFUNCTION("""COMPUTED_VALUE"""),-60.0)</f>
        <v>-60</v>
      </c>
      <c r="H233" s="32">
        <f>IFERROR(__xludf.DUMMYFUNCTION("""COMPUTED_VALUE"""),-0.0106)</f>
        <v>-0.0106</v>
      </c>
      <c r="I233" s="57" t="str">
        <f>IFERROR(__xludf.DUMMYFUNCTION("""COMPUTED_VALUE"""),"556,40K")</f>
        <v>556,40K</v>
      </c>
      <c r="J233" s="59">
        <f>IFERROR(__xludf.DUMMYFUNCTION("""COMPUTED_VALUE"""),44421.0)</f>
        <v>44421</v>
      </c>
      <c r="K233" s="57"/>
    </row>
    <row r="234">
      <c r="B234" s="57"/>
      <c r="C234" s="57" t="str">
        <f>IFERROR(__xludf.DUMMYFUNCTION("""COMPUTED_VALUE"""),"NGK Insulators")</f>
        <v>NGK Insulators</v>
      </c>
      <c r="D234" s="57" t="str">
        <f>IFERROR(__xludf.DUMMYFUNCTION("""COMPUTED_VALUE"""),"1.834,0")</f>
        <v>1.834,0</v>
      </c>
      <c r="E234" s="57" t="str">
        <f>IFERROR(__xludf.DUMMYFUNCTION("""COMPUTED_VALUE"""),"1.880,0")</f>
        <v>1.880,0</v>
      </c>
      <c r="F234" s="57" t="str">
        <f>IFERROR(__xludf.DUMMYFUNCTION("""COMPUTED_VALUE"""),"1.830,0")</f>
        <v>1.830,0</v>
      </c>
      <c r="G234" s="57">
        <f>IFERROR(__xludf.DUMMYFUNCTION("""COMPUTED_VALUE"""),-26.0)</f>
        <v>-26</v>
      </c>
      <c r="H234" s="32">
        <f>IFERROR(__xludf.DUMMYFUNCTION("""COMPUTED_VALUE"""),-0.014)</f>
        <v>-0.014</v>
      </c>
      <c r="I234" s="57" t="str">
        <f>IFERROR(__xludf.DUMMYFUNCTION("""COMPUTED_VALUE"""),"768,20K")</f>
        <v>768,20K</v>
      </c>
      <c r="J234" s="59">
        <f>IFERROR(__xludf.DUMMYFUNCTION("""COMPUTED_VALUE"""),44421.0)</f>
        <v>44421</v>
      </c>
      <c r="K234" s="57"/>
    </row>
    <row r="235">
      <c r="B235" s="57"/>
      <c r="C235" s="57" t="str">
        <f>IFERROR(__xludf.DUMMYFUNCTION("""COMPUTED_VALUE"""),"NH Foods")</f>
        <v>NH Foods</v>
      </c>
      <c r="D235" s="57" t="str">
        <f>IFERROR(__xludf.DUMMYFUNCTION("""COMPUTED_VALUE"""),"4.135,0")</f>
        <v>4.135,0</v>
      </c>
      <c r="E235" s="57" t="str">
        <f>IFERROR(__xludf.DUMMYFUNCTION("""COMPUTED_VALUE"""),"4.170,0")</f>
        <v>4.170,0</v>
      </c>
      <c r="F235" s="57" t="str">
        <f>IFERROR(__xludf.DUMMYFUNCTION("""COMPUTED_VALUE"""),"4.130,0")</f>
        <v>4.130,0</v>
      </c>
      <c r="G235" s="57" t="str">
        <f>IFERROR(__xludf.DUMMYFUNCTION("""COMPUTED_VALUE"""),"+5,0")</f>
        <v>+5,0</v>
      </c>
      <c r="H235" s="57" t="str">
        <f>IFERROR(__xludf.DUMMYFUNCTION("""COMPUTED_VALUE"""),"+0,12%")</f>
        <v>+0,12%</v>
      </c>
      <c r="I235" s="57" t="str">
        <f>IFERROR(__xludf.DUMMYFUNCTION("""COMPUTED_VALUE"""),"322,70K")</f>
        <v>322,70K</v>
      </c>
      <c r="J235" s="59">
        <f>IFERROR(__xludf.DUMMYFUNCTION("""COMPUTED_VALUE"""),44421.0)</f>
        <v>44421</v>
      </c>
      <c r="K235" s="57"/>
    </row>
    <row r="236">
      <c r="B236" s="57"/>
      <c r="C236" s="57" t="str">
        <f>IFERROR(__xludf.DUMMYFUNCTION("""COMPUTED_VALUE"""),"Nichirei Corp.")</f>
        <v>Nichirei Corp.</v>
      </c>
      <c r="D236" s="57" t="str">
        <f>IFERROR(__xludf.DUMMYFUNCTION("""COMPUTED_VALUE"""),"2.591,0")</f>
        <v>2.591,0</v>
      </c>
      <c r="E236" s="57" t="str">
        <f>IFERROR(__xludf.DUMMYFUNCTION("""COMPUTED_VALUE"""),"2.598,0")</f>
        <v>2.598,0</v>
      </c>
      <c r="F236" s="57" t="str">
        <f>IFERROR(__xludf.DUMMYFUNCTION("""COMPUTED_VALUE"""),"2.580,0")</f>
        <v>2.580,0</v>
      </c>
      <c r="G236" s="57">
        <f>IFERROR(__xludf.DUMMYFUNCTION("""COMPUTED_VALUE"""),-16.0)</f>
        <v>-16</v>
      </c>
      <c r="H236" s="32">
        <f>IFERROR(__xludf.DUMMYFUNCTION("""COMPUTED_VALUE"""),-0.0061)</f>
        <v>-0.0061</v>
      </c>
      <c r="I236" s="57" t="str">
        <f>IFERROR(__xludf.DUMMYFUNCTION("""COMPUTED_VALUE"""),"671,90K")</f>
        <v>671,90K</v>
      </c>
      <c r="J236" s="59">
        <f>IFERROR(__xludf.DUMMYFUNCTION("""COMPUTED_VALUE"""),44421.0)</f>
        <v>44421</v>
      </c>
      <c r="K236" s="57"/>
    </row>
    <row r="237">
      <c r="B237" s="57"/>
      <c r="C237" s="57" t="str">
        <f>IFERROR(__xludf.DUMMYFUNCTION("""COMPUTED_VALUE"""),"Nikon Corp.")</f>
        <v>Nikon Corp.</v>
      </c>
      <c r="D237" s="57" t="str">
        <f>IFERROR(__xludf.DUMMYFUNCTION("""COMPUTED_VALUE"""),"1.146,0")</f>
        <v>1.146,0</v>
      </c>
      <c r="E237" s="57" t="str">
        <f>IFERROR(__xludf.DUMMYFUNCTION("""COMPUTED_VALUE"""),"1.153,0")</f>
        <v>1.153,0</v>
      </c>
      <c r="F237" s="57" t="str">
        <f>IFERROR(__xludf.DUMMYFUNCTION("""COMPUTED_VALUE"""),"1.138,0")</f>
        <v>1.138,0</v>
      </c>
      <c r="G237" s="57" t="str">
        <f>IFERROR(__xludf.DUMMYFUNCTION("""COMPUTED_VALUE"""),"+6,0")</f>
        <v>+6,0</v>
      </c>
      <c r="H237" s="57" t="str">
        <f>IFERROR(__xludf.DUMMYFUNCTION("""COMPUTED_VALUE"""),"+0,53%")</f>
        <v>+0,53%</v>
      </c>
      <c r="I237" s="57" t="str">
        <f>IFERROR(__xludf.DUMMYFUNCTION("""COMPUTED_VALUE"""),"1,77M")</f>
        <v>1,77M</v>
      </c>
      <c r="J237" s="59">
        <f>IFERROR(__xludf.DUMMYFUNCTION("""COMPUTED_VALUE"""),44421.0)</f>
        <v>44421</v>
      </c>
      <c r="K237" s="57"/>
    </row>
    <row r="238">
      <c r="B238" s="57"/>
      <c r="C238" s="57" t="str">
        <f>IFERROR(__xludf.DUMMYFUNCTION("""COMPUTED_VALUE"""),"Nippon Electric Glass")</f>
        <v>Nippon Electric Glass</v>
      </c>
      <c r="D238" s="57" t="str">
        <f>IFERROR(__xludf.DUMMYFUNCTION("""COMPUTED_VALUE"""),"2.422,0")</f>
        <v>2.422,0</v>
      </c>
      <c r="E238" s="57" t="str">
        <f>IFERROR(__xludf.DUMMYFUNCTION("""COMPUTED_VALUE"""),"2.447,0")</f>
        <v>2.447,0</v>
      </c>
      <c r="F238" s="57" t="str">
        <f>IFERROR(__xludf.DUMMYFUNCTION("""COMPUTED_VALUE"""),"2.417,0")</f>
        <v>2.417,0</v>
      </c>
      <c r="G238" s="57">
        <f>IFERROR(__xludf.DUMMYFUNCTION("""COMPUTED_VALUE"""),-3.0)</f>
        <v>-3</v>
      </c>
      <c r="H238" s="32">
        <f>IFERROR(__xludf.DUMMYFUNCTION("""COMPUTED_VALUE"""),-0.0012)</f>
        <v>-0.0012</v>
      </c>
      <c r="I238" s="57" t="str">
        <f>IFERROR(__xludf.DUMMYFUNCTION("""COMPUTED_VALUE"""),"602,60K")</f>
        <v>602,60K</v>
      </c>
      <c r="J238" s="59">
        <f>IFERROR(__xludf.DUMMYFUNCTION("""COMPUTED_VALUE"""),44421.0)</f>
        <v>44421</v>
      </c>
      <c r="K238" s="57"/>
    </row>
    <row r="239">
      <c r="B239" s="57"/>
      <c r="C239" s="57" t="str">
        <f>IFERROR(__xludf.DUMMYFUNCTION("""COMPUTED_VALUE"""),"Nippon Express")</f>
        <v>Nippon Express</v>
      </c>
      <c r="D239" s="57" t="str">
        <f>IFERROR(__xludf.DUMMYFUNCTION("""COMPUTED_VALUE"""),"8.500,0")</f>
        <v>8.500,0</v>
      </c>
      <c r="E239" s="57" t="str">
        <f>IFERROR(__xludf.DUMMYFUNCTION("""COMPUTED_VALUE"""),"8.620,0")</f>
        <v>8.620,0</v>
      </c>
      <c r="F239" s="57" t="str">
        <f>IFERROR(__xludf.DUMMYFUNCTION("""COMPUTED_VALUE"""),"8.460,0")</f>
        <v>8.460,0</v>
      </c>
      <c r="G239" s="57" t="str">
        <f>IFERROR(__xludf.DUMMYFUNCTION("""COMPUTED_VALUE"""),"+90,0")</f>
        <v>+90,0</v>
      </c>
      <c r="H239" s="57" t="str">
        <f>IFERROR(__xludf.DUMMYFUNCTION("""COMPUTED_VALUE"""),"+1,07%")</f>
        <v>+1,07%</v>
      </c>
      <c r="I239" s="57" t="str">
        <f>IFERROR(__xludf.DUMMYFUNCTION("""COMPUTED_VALUE"""),"335,70K")</f>
        <v>335,70K</v>
      </c>
      <c r="J239" s="59">
        <f>IFERROR(__xludf.DUMMYFUNCTION("""COMPUTED_VALUE"""),44421.0)</f>
        <v>44421</v>
      </c>
      <c r="K239" s="57"/>
    </row>
    <row r="240">
      <c r="B240" s="57"/>
      <c r="C240" s="57" t="str">
        <f>IFERROR(__xludf.DUMMYFUNCTION("""COMPUTED_VALUE"""),"Nippon Kayaku")</f>
        <v>Nippon Kayaku</v>
      </c>
      <c r="D240" s="57" t="str">
        <f>IFERROR(__xludf.DUMMYFUNCTION("""COMPUTED_VALUE"""),"1.224,0")</f>
        <v>1.224,0</v>
      </c>
      <c r="E240" s="57" t="str">
        <f>IFERROR(__xludf.DUMMYFUNCTION("""COMPUTED_VALUE"""),"1.233,0")</f>
        <v>1.233,0</v>
      </c>
      <c r="F240" s="57" t="str">
        <f>IFERROR(__xludf.DUMMYFUNCTION("""COMPUTED_VALUE"""),"1.214,0")</f>
        <v>1.214,0</v>
      </c>
      <c r="G240" s="57">
        <f>IFERROR(__xludf.DUMMYFUNCTION("""COMPUTED_VALUE"""),-7.0)</f>
        <v>-7</v>
      </c>
      <c r="H240" s="32">
        <f>IFERROR(__xludf.DUMMYFUNCTION("""COMPUTED_VALUE"""),-0.0057)</f>
        <v>-0.0057</v>
      </c>
      <c r="I240" s="57" t="str">
        <f>IFERROR(__xludf.DUMMYFUNCTION("""COMPUTED_VALUE"""),"301,30K")</f>
        <v>301,30K</v>
      </c>
      <c r="J240" s="59">
        <f>IFERROR(__xludf.DUMMYFUNCTION("""COMPUTED_VALUE"""),44421.0)</f>
        <v>44421</v>
      </c>
      <c r="K240" s="57"/>
    </row>
    <row r="241">
      <c r="B241" s="57"/>
      <c r="C241" s="57" t="str">
        <f>IFERROR(__xludf.DUMMYFUNCTION("""COMPUTED_VALUE"""),"Nippon Light Metal Holdings Co.")</f>
        <v>Nippon Light Metal Holdings Co.</v>
      </c>
      <c r="D241" s="57" t="str">
        <f>IFERROR(__xludf.DUMMYFUNCTION("""COMPUTED_VALUE"""),"1.987,0")</f>
        <v>1.987,0</v>
      </c>
      <c r="E241" s="57" t="str">
        <f>IFERROR(__xludf.DUMMYFUNCTION("""COMPUTED_VALUE"""),"2.000,0")</f>
        <v>2.000,0</v>
      </c>
      <c r="F241" s="57" t="str">
        <f>IFERROR(__xludf.DUMMYFUNCTION("""COMPUTED_VALUE"""),"1.983,0")</f>
        <v>1.983,0</v>
      </c>
      <c r="G241" s="57" t="str">
        <f>IFERROR(__xludf.DUMMYFUNCTION("""COMPUTED_VALUE"""),"+6,0")</f>
        <v>+6,0</v>
      </c>
      <c r="H241" s="57" t="str">
        <f>IFERROR(__xludf.DUMMYFUNCTION("""COMPUTED_VALUE"""),"+0,30%")</f>
        <v>+0,30%</v>
      </c>
      <c r="I241" s="57" t="str">
        <f>IFERROR(__xludf.DUMMYFUNCTION("""COMPUTED_VALUE"""),"372,30K")</f>
        <v>372,30K</v>
      </c>
      <c r="J241" s="59">
        <f>IFERROR(__xludf.DUMMYFUNCTION("""COMPUTED_VALUE"""),44421.0)</f>
        <v>44421</v>
      </c>
      <c r="K241" s="57"/>
    </row>
    <row r="242">
      <c r="B242" s="57"/>
      <c r="C242" s="57" t="str">
        <f>IFERROR(__xludf.DUMMYFUNCTION("""COMPUTED_VALUE"""),"Nippon Paper Industries")</f>
        <v>Nippon Paper Industries</v>
      </c>
      <c r="D242" s="57" t="str">
        <f>IFERROR(__xludf.DUMMYFUNCTION("""COMPUTED_VALUE"""),"1.293,0")</f>
        <v>1.293,0</v>
      </c>
      <c r="E242" s="57" t="str">
        <f>IFERROR(__xludf.DUMMYFUNCTION("""COMPUTED_VALUE"""),"1.297,0")</f>
        <v>1.297,0</v>
      </c>
      <c r="F242" s="57" t="str">
        <f>IFERROR(__xludf.DUMMYFUNCTION("""COMPUTED_VALUE"""),"1.280,0")</f>
        <v>1.280,0</v>
      </c>
      <c r="G242" s="57" t="str">
        <f>IFERROR(__xludf.DUMMYFUNCTION("""COMPUTED_VALUE"""),"+1,0")</f>
        <v>+1,0</v>
      </c>
      <c r="H242" s="57" t="str">
        <f>IFERROR(__xludf.DUMMYFUNCTION("""COMPUTED_VALUE"""),"+0,08%")</f>
        <v>+0,08%</v>
      </c>
      <c r="I242" s="57" t="str">
        <f>IFERROR(__xludf.DUMMYFUNCTION("""COMPUTED_VALUE"""),"353,60K")</f>
        <v>353,60K</v>
      </c>
      <c r="J242" s="59">
        <f>IFERROR(__xludf.DUMMYFUNCTION("""COMPUTED_VALUE"""),44421.0)</f>
        <v>44421</v>
      </c>
      <c r="K242" s="57"/>
    </row>
    <row r="243">
      <c r="B243" s="57"/>
      <c r="C243" s="57" t="str">
        <f>IFERROR(__xludf.DUMMYFUNCTION("""COMPUTED_VALUE"""),"Nippon Sheet Glass")</f>
        <v>Nippon Sheet Glass</v>
      </c>
      <c r="D243" s="57">
        <f>IFERROR(__xludf.DUMMYFUNCTION("""COMPUTED_VALUE"""),577.0)</f>
        <v>577</v>
      </c>
      <c r="E243" s="57">
        <f>IFERROR(__xludf.DUMMYFUNCTION("""COMPUTED_VALUE"""),581.0)</f>
        <v>581</v>
      </c>
      <c r="F243" s="57">
        <f>IFERROR(__xludf.DUMMYFUNCTION("""COMPUTED_VALUE"""),570.0)</f>
        <v>570</v>
      </c>
      <c r="G243" s="57">
        <f>IFERROR(__xludf.DUMMYFUNCTION("""COMPUTED_VALUE"""),0.0)</f>
        <v>0</v>
      </c>
      <c r="H243" s="32">
        <f>IFERROR(__xludf.DUMMYFUNCTION("""COMPUTED_VALUE"""),0.0)</f>
        <v>0</v>
      </c>
      <c r="I243" s="57" t="str">
        <f>IFERROR(__xludf.DUMMYFUNCTION("""COMPUTED_VALUE"""),"808,70K")</f>
        <v>808,70K</v>
      </c>
      <c r="J243" s="59">
        <f>IFERROR(__xludf.DUMMYFUNCTION("""COMPUTED_VALUE"""),44421.0)</f>
        <v>44421</v>
      </c>
      <c r="K243" s="57"/>
    </row>
    <row r="244">
      <c r="B244" s="57"/>
      <c r="C244" s="57" t="str">
        <f>IFERROR(__xludf.DUMMYFUNCTION("""COMPUTED_VALUE"""),"Nippon Suisan Kaisha")</f>
        <v>Nippon Suisan Kaisha</v>
      </c>
      <c r="D244" s="57">
        <f>IFERROR(__xludf.DUMMYFUNCTION("""COMPUTED_VALUE"""),583.0)</f>
        <v>583</v>
      </c>
      <c r="E244" s="57">
        <f>IFERROR(__xludf.DUMMYFUNCTION("""COMPUTED_VALUE"""),583.0)</f>
        <v>583</v>
      </c>
      <c r="F244" s="57">
        <f>IFERROR(__xludf.DUMMYFUNCTION("""COMPUTED_VALUE"""),574.0)</f>
        <v>574</v>
      </c>
      <c r="G244" s="57" t="str">
        <f>IFERROR(__xludf.DUMMYFUNCTION("""COMPUTED_VALUE"""),"+2,0")</f>
        <v>+2,0</v>
      </c>
      <c r="H244" s="57" t="str">
        <f>IFERROR(__xludf.DUMMYFUNCTION("""COMPUTED_VALUE"""),"+0,34%")</f>
        <v>+0,34%</v>
      </c>
      <c r="I244" s="57" t="str">
        <f>IFERROR(__xludf.DUMMYFUNCTION("""COMPUTED_VALUE"""),"1,16M")</f>
        <v>1,16M</v>
      </c>
      <c r="J244" s="59">
        <f>IFERROR(__xludf.DUMMYFUNCTION("""COMPUTED_VALUE"""),44421.0)</f>
        <v>44421</v>
      </c>
      <c r="K244" s="57"/>
    </row>
    <row r="245">
      <c r="B245" s="57"/>
      <c r="C245" s="57" t="str">
        <f>IFERROR(__xludf.DUMMYFUNCTION("""COMPUTED_VALUE"""),"Nippon Telegraph &amp; Telephone Corp")</f>
        <v>Nippon Telegraph &amp; Telephone Corp</v>
      </c>
      <c r="D245" s="57" t="str">
        <f>IFERROR(__xludf.DUMMYFUNCTION("""COMPUTED_VALUE"""),"2.913,5")</f>
        <v>2.913,5</v>
      </c>
      <c r="E245" s="57" t="str">
        <f>IFERROR(__xludf.DUMMYFUNCTION("""COMPUTED_VALUE"""),"2.921,5")</f>
        <v>2.921,5</v>
      </c>
      <c r="F245" s="57" t="str">
        <f>IFERROR(__xludf.DUMMYFUNCTION("""COMPUTED_VALUE"""),"2.866,5")</f>
        <v>2.866,5</v>
      </c>
      <c r="G245" s="57" t="str">
        <f>IFERROR(__xludf.DUMMYFUNCTION("""COMPUTED_VALUE"""),"+60,5")</f>
        <v>+60,5</v>
      </c>
      <c r="H245" s="57" t="str">
        <f>IFERROR(__xludf.DUMMYFUNCTION("""COMPUTED_VALUE"""),"+2,12%")</f>
        <v>+2,12%</v>
      </c>
      <c r="I245" s="57" t="str">
        <f>IFERROR(__xludf.DUMMYFUNCTION("""COMPUTED_VALUE"""),"5,81M")</f>
        <v>5,81M</v>
      </c>
      <c r="J245" s="59">
        <f>IFERROR(__xludf.DUMMYFUNCTION("""COMPUTED_VALUE"""),44421.0)</f>
        <v>44421</v>
      </c>
      <c r="K245" s="57"/>
    </row>
    <row r="246">
      <c r="B246" s="57"/>
      <c r="C246" s="57" t="str">
        <f>IFERROR(__xludf.DUMMYFUNCTION("""COMPUTED_VALUE"""),"Nippon Yusen K.K")</f>
        <v>Nippon Yusen K.K</v>
      </c>
      <c r="D246" s="57" t="str">
        <f>IFERROR(__xludf.DUMMYFUNCTION("""COMPUTED_VALUE"""),"8.040,0")</f>
        <v>8.040,0</v>
      </c>
      <c r="E246" s="57" t="str">
        <f>IFERROR(__xludf.DUMMYFUNCTION("""COMPUTED_VALUE"""),"8.180,0")</f>
        <v>8.180,0</v>
      </c>
      <c r="F246" s="57" t="str">
        <f>IFERROR(__xludf.DUMMYFUNCTION("""COMPUTED_VALUE"""),"7.950,0")</f>
        <v>7.950,0</v>
      </c>
      <c r="G246" s="57">
        <f>IFERROR(__xludf.DUMMYFUNCTION("""COMPUTED_VALUE"""),-20.0)</f>
        <v>-20</v>
      </c>
      <c r="H246" s="32">
        <f>IFERROR(__xludf.DUMMYFUNCTION("""COMPUTED_VALUE"""),-0.0025)</f>
        <v>-0.0025</v>
      </c>
      <c r="I246" s="57" t="str">
        <f>IFERROR(__xludf.DUMMYFUNCTION("""COMPUTED_VALUE"""),"6,00M")</f>
        <v>6,00M</v>
      </c>
      <c r="J246" s="59">
        <f>IFERROR(__xludf.DUMMYFUNCTION("""COMPUTED_VALUE"""),44421.0)</f>
        <v>44421</v>
      </c>
      <c r="K246" s="57"/>
    </row>
    <row r="247">
      <c r="B247" s="57"/>
      <c r="C247" s="57" t="str">
        <f>IFERROR(__xludf.DUMMYFUNCTION("""COMPUTED_VALUE"""),"Nissan Chemical Industries")</f>
        <v>Nissan Chemical Industries</v>
      </c>
      <c r="D247" s="57" t="str">
        <f>IFERROR(__xludf.DUMMYFUNCTION("""COMPUTED_VALUE"""),"5.570,0")</f>
        <v>5.570,0</v>
      </c>
      <c r="E247" s="57" t="str">
        <f>IFERROR(__xludf.DUMMYFUNCTION("""COMPUTED_VALUE"""),"5.610,0")</f>
        <v>5.610,0</v>
      </c>
      <c r="F247" s="57" t="str">
        <f>IFERROR(__xludf.DUMMYFUNCTION("""COMPUTED_VALUE"""),"5.520,0")</f>
        <v>5.520,0</v>
      </c>
      <c r="G247" s="57" t="str">
        <f>IFERROR(__xludf.DUMMYFUNCTION("""COMPUTED_VALUE"""),"+30,0")</f>
        <v>+30,0</v>
      </c>
      <c r="H247" s="57" t="str">
        <f>IFERROR(__xludf.DUMMYFUNCTION("""COMPUTED_VALUE"""),"+0,54%")</f>
        <v>+0,54%</v>
      </c>
      <c r="I247" s="57" t="str">
        <f>IFERROR(__xludf.DUMMYFUNCTION("""COMPUTED_VALUE"""),"485,70K")</f>
        <v>485,70K</v>
      </c>
      <c r="J247" s="59">
        <f>IFERROR(__xludf.DUMMYFUNCTION("""COMPUTED_VALUE"""),44421.0)</f>
        <v>44421</v>
      </c>
      <c r="K247" s="57"/>
    </row>
    <row r="248">
      <c r="B248" s="57"/>
      <c r="C248" s="57" t="str">
        <f>IFERROR(__xludf.DUMMYFUNCTION("""COMPUTED_VALUE"""),"Nissan Motor")</f>
        <v>Nissan Motor</v>
      </c>
      <c r="D248" s="57">
        <f>IFERROR(__xludf.DUMMYFUNCTION("""COMPUTED_VALUE"""),616.9)</f>
        <v>616.9</v>
      </c>
      <c r="E248" s="57">
        <f>IFERROR(__xludf.DUMMYFUNCTION("""COMPUTED_VALUE"""),628.0)</f>
        <v>628</v>
      </c>
      <c r="F248" s="57">
        <f>IFERROR(__xludf.DUMMYFUNCTION("""COMPUTED_VALUE"""),615.9)</f>
        <v>615.9</v>
      </c>
      <c r="G248" s="57">
        <f>IFERROR(__xludf.DUMMYFUNCTION("""COMPUTED_VALUE"""),-9.7)</f>
        <v>-9.7</v>
      </c>
      <c r="H248" s="32">
        <f>IFERROR(__xludf.DUMMYFUNCTION("""COMPUTED_VALUE"""),-0.0155)</f>
        <v>-0.0155</v>
      </c>
      <c r="I248" s="57" t="str">
        <f>IFERROR(__xludf.DUMMYFUNCTION("""COMPUTED_VALUE"""),"9,82M")</f>
        <v>9,82M</v>
      </c>
      <c r="J248" s="59">
        <f>IFERROR(__xludf.DUMMYFUNCTION("""COMPUTED_VALUE"""),44421.0)</f>
        <v>44421</v>
      </c>
      <c r="K248" s="57"/>
    </row>
    <row r="249">
      <c r="B249" s="57"/>
      <c r="C249" s="57" t="str">
        <f>IFERROR(__xludf.DUMMYFUNCTION("""COMPUTED_VALUE"""),"Nisshin Seifun Group Inc.")</f>
        <v>Nisshin Seifun Group Inc.</v>
      </c>
      <c r="D249" s="57" t="str">
        <f>IFERROR(__xludf.DUMMYFUNCTION("""COMPUTED_VALUE"""),"1.784,0")</f>
        <v>1.784,0</v>
      </c>
      <c r="E249" s="57" t="str">
        <f>IFERROR(__xludf.DUMMYFUNCTION("""COMPUTED_VALUE"""),"1.804,0")</f>
        <v>1.804,0</v>
      </c>
      <c r="F249" s="57" t="str">
        <f>IFERROR(__xludf.DUMMYFUNCTION("""COMPUTED_VALUE"""),"1.780,0")</f>
        <v>1.780,0</v>
      </c>
      <c r="G249" s="57">
        <f>IFERROR(__xludf.DUMMYFUNCTION("""COMPUTED_VALUE"""),0.0)</f>
        <v>0</v>
      </c>
      <c r="H249" s="32">
        <f>IFERROR(__xludf.DUMMYFUNCTION("""COMPUTED_VALUE"""),0.0)</f>
        <v>0</v>
      </c>
      <c r="I249" s="57" t="str">
        <f>IFERROR(__xludf.DUMMYFUNCTION("""COMPUTED_VALUE"""),"493,90K")</f>
        <v>493,90K</v>
      </c>
      <c r="J249" s="59">
        <f>IFERROR(__xludf.DUMMYFUNCTION("""COMPUTED_VALUE"""),44421.0)</f>
        <v>44421</v>
      </c>
      <c r="K249" s="57"/>
    </row>
    <row r="250">
      <c r="B250" s="57"/>
      <c r="C250" s="57" t="str">
        <f>IFERROR(__xludf.DUMMYFUNCTION("""COMPUTED_VALUE"""),"Nisshinbo Holdings Inc.")</f>
        <v>Nisshinbo Holdings Inc.</v>
      </c>
      <c r="D250" s="57">
        <f>IFERROR(__xludf.DUMMYFUNCTION("""COMPUTED_VALUE"""),988.0)</f>
        <v>988</v>
      </c>
      <c r="E250" s="57" t="str">
        <f>IFERROR(__xludf.DUMMYFUNCTION("""COMPUTED_VALUE"""),"1.020,0")</f>
        <v>1.020,0</v>
      </c>
      <c r="F250" s="57">
        <f>IFERROR(__xludf.DUMMYFUNCTION("""COMPUTED_VALUE"""),985.0)</f>
        <v>985</v>
      </c>
      <c r="G250" s="57">
        <f>IFERROR(__xludf.DUMMYFUNCTION("""COMPUTED_VALUE"""),-20.0)</f>
        <v>-20</v>
      </c>
      <c r="H250" s="32">
        <f>IFERROR(__xludf.DUMMYFUNCTION("""COMPUTED_VALUE"""),-0.0198)</f>
        <v>-0.0198</v>
      </c>
      <c r="I250" s="57" t="str">
        <f>IFERROR(__xludf.DUMMYFUNCTION("""COMPUTED_VALUE"""),"954,90K")</f>
        <v>954,90K</v>
      </c>
      <c r="J250" s="59">
        <f>IFERROR(__xludf.DUMMYFUNCTION("""COMPUTED_VALUE"""),44421.0)</f>
        <v>44421</v>
      </c>
      <c r="K250" s="57"/>
    </row>
    <row r="251">
      <c r="B251" s="57"/>
      <c r="C251" s="57" t="str">
        <f>IFERROR(__xludf.DUMMYFUNCTION("""COMPUTED_VALUE"""),"Nitto Denko Co")</f>
        <v>Nitto Denko Co</v>
      </c>
      <c r="D251" s="57" t="str">
        <f>IFERROR(__xludf.DUMMYFUNCTION("""COMPUTED_VALUE"""),"8.440,0")</f>
        <v>8.440,0</v>
      </c>
      <c r="E251" s="57" t="str">
        <f>IFERROR(__xludf.DUMMYFUNCTION("""COMPUTED_VALUE"""),"8.500,0")</f>
        <v>8.500,0</v>
      </c>
      <c r="F251" s="57" t="str">
        <f>IFERROR(__xludf.DUMMYFUNCTION("""COMPUTED_VALUE"""),"8.420,0")</f>
        <v>8.420,0</v>
      </c>
      <c r="G251" s="57">
        <f>IFERROR(__xludf.DUMMYFUNCTION("""COMPUTED_VALUE"""),-90.0)</f>
        <v>-90</v>
      </c>
      <c r="H251" s="32">
        <f>IFERROR(__xludf.DUMMYFUNCTION("""COMPUTED_VALUE"""),-0.0106)</f>
        <v>-0.0106</v>
      </c>
      <c r="I251" s="57" t="str">
        <f>IFERROR(__xludf.DUMMYFUNCTION("""COMPUTED_VALUE"""),"532,50K")</f>
        <v>532,50K</v>
      </c>
      <c r="J251" s="59">
        <f>IFERROR(__xludf.DUMMYFUNCTION("""COMPUTED_VALUE"""),44421.0)</f>
        <v>44421</v>
      </c>
      <c r="K251" s="57"/>
    </row>
    <row r="252">
      <c r="B252" s="57"/>
      <c r="C252" s="57" t="str">
        <f>IFERROR(__xludf.DUMMYFUNCTION("""COMPUTED_VALUE"""),"Nomura")</f>
        <v>Nomura</v>
      </c>
      <c r="D252" s="57">
        <f>IFERROR(__xludf.DUMMYFUNCTION("""COMPUTED_VALUE"""),556.4)</f>
        <v>556.4</v>
      </c>
      <c r="E252" s="57">
        <f>IFERROR(__xludf.DUMMYFUNCTION("""COMPUTED_VALUE"""),558.0)</f>
        <v>558</v>
      </c>
      <c r="F252" s="57">
        <f>IFERROR(__xludf.DUMMYFUNCTION("""COMPUTED_VALUE"""),554.2)</f>
        <v>554.2</v>
      </c>
      <c r="G252" s="57">
        <f>IFERROR(__xludf.DUMMYFUNCTION("""COMPUTED_VALUE"""),-2.0)</f>
        <v>-2</v>
      </c>
      <c r="H252" s="32">
        <f>IFERROR(__xludf.DUMMYFUNCTION("""COMPUTED_VALUE"""),-0.0036)</f>
        <v>-0.0036</v>
      </c>
      <c r="I252" s="57" t="str">
        <f>IFERROR(__xludf.DUMMYFUNCTION("""COMPUTED_VALUE"""),"6,77M")</f>
        <v>6,77M</v>
      </c>
      <c r="J252" s="59">
        <f>IFERROR(__xludf.DUMMYFUNCTION("""COMPUTED_VALUE"""),44421.0)</f>
        <v>44421</v>
      </c>
      <c r="K252" s="57"/>
    </row>
    <row r="253">
      <c r="B253" s="57"/>
      <c r="C253" s="57" t="str">
        <f>IFERROR(__xludf.DUMMYFUNCTION("""COMPUTED_VALUE"""),"NSK")</f>
        <v>NSK</v>
      </c>
      <c r="D253" s="57">
        <f>IFERROR(__xludf.DUMMYFUNCTION("""COMPUTED_VALUE"""),849.0)</f>
        <v>849</v>
      </c>
      <c r="E253" s="57">
        <f>IFERROR(__xludf.DUMMYFUNCTION("""COMPUTED_VALUE"""),855.0)</f>
        <v>855</v>
      </c>
      <c r="F253" s="57">
        <f>IFERROR(__xludf.DUMMYFUNCTION("""COMPUTED_VALUE"""),843.0)</f>
        <v>843</v>
      </c>
      <c r="G253" s="57">
        <f>IFERROR(__xludf.DUMMYFUNCTION("""COMPUTED_VALUE"""),-12.0)</f>
        <v>-12</v>
      </c>
      <c r="H253" s="32">
        <f>IFERROR(__xludf.DUMMYFUNCTION("""COMPUTED_VALUE"""),-0.0139)</f>
        <v>-0.0139</v>
      </c>
      <c r="I253" s="57" t="str">
        <f>IFERROR(__xludf.DUMMYFUNCTION("""COMPUTED_VALUE"""),"2,47M")</f>
        <v>2,47M</v>
      </c>
      <c r="J253" s="59">
        <f>IFERROR(__xludf.DUMMYFUNCTION("""COMPUTED_VALUE"""),44421.0)</f>
        <v>44421</v>
      </c>
      <c r="K253" s="57"/>
    </row>
    <row r="254">
      <c r="B254" s="57"/>
      <c r="C254" s="57" t="str">
        <f>IFERROR(__xludf.DUMMYFUNCTION("""COMPUTED_VALUE"""),"NTN Corp.")</f>
        <v>NTN Corp.</v>
      </c>
      <c r="D254" s="57">
        <f>IFERROR(__xludf.DUMMYFUNCTION("""COMPUTED_VALUE"""),271.0)</f>
        <v>271</v>
      </c>
      <c r="E254" s="57">
        <f>IFERROR(__xludf.DUMMYFUNCTION("""COMPUTED_VALUE"""),276.0)</f>
        <v>276</v>
      </c>
      <c r="F254" s="57">
        <f>IFERROR(__xludf.DUMMYFUNCTION("""COMPUTED_VALUE"""),269.0)</f>
        <v>269</v>
      </c>
      <c r="G254" s="57">
        <f>IFERROR(__xludf.DUMMYFUNCTION("""COMPUTED_VALUE"""),-6.0)</f>
        <v>-6</v>
      </c>
      <c r="H254" s="32">
        <f>IFERROR(__xludf.DUMMYFUNCTION("""COMPUTED_VALUE"""),-0.0217)</f>
        <v>-0.0217</v>
      </c>
      <c r="I254" s="57" t="str">
        <f>IFERROR(__xludf.DUMMYFUNCTION("""COMPUTED_VALUE"""),"4,78M")</f>
        <v>4,78M</v>
      </c>
      <c r="J254" s="59">
        <f>IFERROR(__xludf.DUMMYFUNCTION("""COMPUTED_VALUE"""),44421.0)</f>
        <v>44421</v>
      </c>
      <c r="K254" s="57"/>
    </row>
    <row r="255">
      <c r="B255" s="57"/>
      <c r="C255" s="57" t="str">
        <f>IFERROR(__xludf.DUMMYFUNCTION("""COMPUTED_VALUE"""),"NTT Data Corp.")</f>
        <v>NTT Data Corp.</v>
      </c>
      <c r="D255" s="57" t="str">
        <f>IFERROR(__xludf.DUMMYFUNCTION("""COMPUTED_VALUE"""),"1.777,0")</f>
        <v>1.777,0</v>
      </c>
      <c r="E255" s="57" t="str">
        <f>IFERROR(__xludf.DUMMYFUNCTION("""COMPUTED_VALUE"""),"1.787,0")</f>
        <v>1.787,0</v>
      </c>
      <c r="F255" s="57" t="str">
        <f>IFERROR(__xludf.DUMMYFUNCTION("""COMPUTED_VALUE"""),"1.764,0")</f>
        <v>1.764,0</v>
      </c>
      <c r="G255" s="57" t="str">
        <f>IFERROR(__xludf.DUMMYFUNCTION("""COMPUTED_VALUE"""),"+6,0")</f>
        <v>+6,0</v>
      </c>
      <c r="H255" s="57" t="str">
        <f>IFERROR(__xludf.DUMMYFUNCTION("""COMPUTED_VALUE"""),"+0,34%")</f>
        <v>+0,34%</v>
      </c>
      <c r="I255" s="57" t="str">
        <f>IFERROR(__xludf.DUMMYFUNCTION("""COMPUTED_VALUE"""),"2,02M")</f>
        <v>2,02M</v>
      </c>
      <c r="J255" s="59">
        <f>IFERROR(__xludf.DUMMYFUNCTION("""COMPUTED_VALUE"""),44421.0)</f>
        <v>44421</v>
      </c>
      <c r="K255" s="57"/>
    </row>
    <row r="256">
      <c r="B256" s="57"/>
      <c r="C256" s="57" t="str">
        <f>IFERROR(__xludf.DUMMYFUNCTION("""COMPUTED_VALUE"""),"Obayashi Corp.")</f>
        <v>Obayashi Corp.</v>
      </c>
      <c r="D256" s="57">
        <f>IFERROR(__xludf.DUMMYFUNCTION("""COMPUTED_VALUE"""),941.0)</f>
        <v>941</v>
      </c>
      <c r="E256" s="57">
        <f>IFERROR(__xludf.DUMMYFUNCTION("""COMPUTED_VALUE"""),947.0)</f>
        <v>947</v>
      </c>
      <c r="F256" s="57">
        <f>IFERROR(__xludf.DUMMYFUNCTION("""COMPUTED_VALUE"""),935.0)</f>
        <v>935</v>
      </c>
      <c r="G256" s="57" t="str">
        <f>IFERROR(__xludf.DUMMYFUNCTION("""COMPUTED_VALUE"""),"+8,0")</f>
        <v>+8,0</v>
      </c>
      <c r="H256" s="57" t="str">
        <f>IFERROR(__xludf.DUMMYFUNCTION("""COMPUTED_VALUE"""),"+0,86%")</f>
        <v>+0,86%</v>
      </c>
      <c r="I256" s="57" t="str">
        <f>IFERROR(__xludf.DUMMYFUNCTION("""COMPUTED_VALUE"""),"2,11M")</f>
        <v>2,11M</v>
      </c>
      <c r="J256" s="59">
        <f>IFERROR(__xludf.DUMMYFUNCTION("""COMPUTED_VALUE"""),44421.0)</f>
        <v>44421</v>
      </c>
      <c r="K256" s="57"/>
    </row>
    <row r="257">
      <c r="B257" s="57"/>
      <c r="C257" s="57" t="str">
        <f>IFERROR(__xludf.DUMMYFUNCTION("""COMPUTED_VALUE"""),"Odakyu Electric Railway")</f>
        <v>Odakyu Electric Railway</v>
      </c>
      <c r="D257" s="57" t="str">
        <f>IFERROR(__xludf.DUMMYFUNCTION("""COMPUTED_VALUE"""),"2.584,0")</f>
        <v>2.584,0</v>
      </c>
      <c r="E257" s="57" t="str">
        <f>IFERROR(__xludf.DUMMYFUNCTION("""COMPUTED_VALUE"""),"2.622,0")</f>
        <v>2.622,0</v>
      </c>
      <c r="F257" s="57" t="str">
        <f>IFERROR(__xludf.DUMMYFUNCTION("""COMPUTED_VALUE"""),"2.568,0")</f>
        <v>2.568,0</v>
      </c>
      <c r="G257" s="57">
        <f>IFERROR(__xludf.DUMMYFUNCTION("""COMPUTED_VALUE"""),-41.0)</f>
        <v>-41</v>
      </c>
      <c r="H257" s="32">
        <f>IFERROR(__xludf.DUMMYFUNCTION("""COMPUTED_VALUE"""),-0.0156)</f>
        <v>-0.0156</v>
      </c>
      <c r="I257" s="57" t="str">
        <f>IFERROR(__xludf.DUMMYFUNCTION("""COMPUTED_VALUE"""),"719,70K")</f>
        <v>719,70K</v>
      </c>
      <c r="J257" s="59">
        <f>IFERROR(__xludf.DUMMYFUNCTION("""COMPUTED_VALUE"""),44421.0)</f>
        <v>44421</v>
      </c>
      <c r="K257" s="57"/>
    </row>
    <row r="258">
      <c r="B258" s="57"/>
      <c r="C258" s="57" t="str">
        <f>IFERROR(__xludf.DUMMYFUNCTION("""COMPUTED_VALUE"""),"Oji Holdings Corp.")</f>
        <v>Oji Holdings Corp.</v>
      </c>
      <c r="D258" s="57">
        <f>IFERROR(__xludf.DUMMYFUNCTION("""COMPUTED_VALUE"""),622.0)</f>
        <v>622</v>
      </c>
      <c r="E258" s="57">
        <f>IFERROR(__xludf.DUMMYFUNCTION("""COMPUTED_VALUE"""),625.0)</f>
        <v>625</v>
      </c>
      <c r="F258" s="57">
        <f>IFERROR(__xludf.DUMMYFUNCTION("""COMPUTED_VALUE"""),615.0)</f>
        <v>615</v>
      </c>
      <c r="G258" s="57" t="str">
        <f>IFERROR(__xludf.DUMMYFUNCTION("""COMPUTED_VALUE"""),"+8,0")</f>
        <v>+8,0</v>
      </c>
      <c r="H258" s="57" t="str">
        <f>IFERROR(__xludf.DUMMYFUNCTION("""COMPUTED_VALUE"""),"+1,30%")</f>
        <v>+1,30%</v>
      </c>
      <c r="I258" s="57" t="str">
        <f>IFERROR(__xludf.DUMMYFUNCTION("""COMPUTED_VALUE"""),"1,94M")</f>
        <v>1,94M</v>
      </c>
      <c r="J258" s="59">
        <f>IFERROR(__xludf.DUMMYFUNCTION("""COMPUTED_VALUE"""),44421.0)</f>
        <v>44421</v>
      </c>
      <c r="K258" s="57"/>
    </row>
    <row r="259">
      <c r="B259" s="57"/>
      <c r="C259" s="57" t="str">
        <f>IFERROR(__xludf.DUMMYFUNCTION("""COMPUTED_VALUE"""),"Oki Electric Industry")</f>
        <v>Oki Electric Industry</v>
      </c>
      <c r="D259" s="57">
        <f>IFERROR(__xludf.DUMMYFUNCTION("""COMPUTED_VALUE"""),983.0)</f>
        <v>983</v>
      </c>
      <c r="E259" s="57">
        <f>IFERROR(__xludf.DUMMYFUNCTION("""COMPUTED_VALUE"""),988.0)</f>
        <v>988</v>
      </c>
      <c r="F259" s="57">
        <f>IFERROR(__xludf.DUMMYFUNCTION("""COMPUTED_VALUE"""),958.0)</f>
        <v>958</v>
      </c>
      <c r="G259" s="57">
        <f>IFERROR(__xludf.DUMMYFUNCTION("""COMPUTED_VALUE"""),-97.0)</f>
        <v>-97</v>
      </c>
      <c r="H259" s="32">
        <f>IFERROR(__xludf.DUMMYFUNCTION("""COMPUTED_VALUE"""),-0.0898)</f>
        <v>-0.0898</v>
      </c>
      <c r="I259" s="57" t="str">
        <f>IFERROR(__xludf.DUMMYFUNCTION("""COMPUTED_VALUE"""),"1,68M")</f>
        <v>1,68M</v>
      </c>
      <c r="J259" s="59">
        <f>IFERROR(__xludf.DUMMYFUNCTION("""COMPUTED_VALUE"""),44421.0)</f>
        <v>44421</v>
      </c>
      <c r="K259" s="57"/>
    </row>
    <row r="260">
      <c r="B260" s="57"/>
      <c r="C260" s="57" t="str">
        <f>IFERROR(__xludf.DUMMYFUNCTION("""COMPUTED_VALUE"""),"Okuma Corp.")</f>
        <v>Okuma Corp.</v>
      </c>
      <c r="D260" s="57" t="str">
        <f>IFERROR(__xludf.DUMMYFUNCTION("""COMPUTED_VALUE"""),"5.320,0")</f>
        <v>5.320,0</v>
      </c>
      <c r="E260" s="57" t="str">
        <f>IFERROR(__xludf.DUMMYFUNCTION("""COMPUTED_VALUE"""),"5.470,0")</f>
        <v>5.470,0</v>
      </c>
      <c r="F260" s="57" t="str">
        <f>IFERROR(__xludf.DUMMYFUNCTION("""COMPUTED_VALUE"""),"5.290,0")</f>
        <v>5.290,0</v>
      </c>
      <c r="G260" s="57">
        <f>IFERROR(__xludf.DUMMYFUNCTION("""COMPUTED_VALUE"""),-110.0)</f>
        <v>-110</v>
      </c>
      <c r="H260" s="32">
        <f>IFERROR(__xludf.DUMMYFUNCTION("""COMPUTED_VALUE"""),-0.0203)</f>
        <v>-0.0203</v>
      </c>
      <c r="I260" s="57" t="str">
        <f>IFERROR(__xludf.DUMMYFUNCTION("""COMPUTED_VALUE"""),"146,20K")</f>
        <v>146,20K</v>
      </c>
      <c r="J260" s="59">
        <f>IFERROR(__xludf.DUMMYFUNCTION("""COMPUTED_VALUE"""),44421.0)</f>
        <v>44421</v>
      </c>
      <c r="K260" s="57"/>
    </row>
    <row r="261">
      <c r="B261" s="57"/>
      <c r="C261" s="57" t="str">
        <f>IFERROR(__xludf.DUMMYFUNCTION("""COMPUTED_VALUE"""),"Olympus Corp.")</f>
        <v>Olympus Corp.</v>
      </c>
      <c r="D261" s="57" t="str">
        <f>IFERROR(__xludf.DUMMYFUNCTION("""COMPUTED_VALUE"""),"2.239,5")</f>
        <v>2.239,5</v>
      </c>
      <c r="E261" s="57" t="str">
        <f>IFERROR(__xludf.DUMMYFUNCTION("""COMPUTED_VALUE"""),"2.280,0")</f>
        <v>2.280,0</v>
      </c>
      <c r="F261" s="57" t="str">
        <f>IFERROR(__xludf.DUMMYFUNCTION("""COMPUTED_VALUE"""),"2.235,5")</f>
        <v>2.235,5</v>
      </c>
      <c r="G261" s="57">
        <f>IFERROR(__xludf.DUMMYFUNCTION("""COMPUTED_VALUE"""),-12.0)</f>
        <v>-12</v>
      </c>
      <c r="H261" s="32">
        <f>IFERROR(__xludf.DUMMYFUNCTION("""COMPUTED_VALUE"""),-0.0053)</f>
        <v>-0.0053</v>
      </c>
      <c r="I261" s="57" t="str">
        <f>IFERROR(__xludf.DUMMYFUNCTION("""COMPUTED_VALUE"""),"3,72M")</f>
        <v>3,72M</v>
      </c>
      <c r="J261" s="59">
        <f>IFERROR(__xludf.DUMMYFUNCTION("""COMPUTED_VALUE"""),44421.0)</f>
        <v>44421</v>
      </c>
      <c r="K261" s="57"/>
    </row>
    <row r="262">
      <c r="B262" s="57"/>
      <c r="C262" s="57" t="str">
        <f>IFERROR(__xludf.DUMMYFUNCTION("""COMPUTED_VALUE"""),"Omron Cor")</f>
        <v>Omron Cor</v>
      </c>
      <c r="D262" s="57" t="str">
        <f>IFERROR(__xludf.DUMMYFUNCTION("""COMPUTED_VALUE"""),"9.860,0")</f>
        <v>9.860,0</v>
      </c>
      <c r="E262" s="57" t="str">
        <f>IFERROR(__xludf.DUMMYFUNCTION("""COMPUTED_VALUE"""),"9.890,0")</f>
        <v>9.890,0</v>
      </c>
      <c r="F262" s="57" t="str">
        <f>IFERROR(__xludf.DUMMYFUNCTION("""COMPUTED_VALUE"""),"9.770,0")</f>
        <v>9.770,0</v>
      </c>
      <c r="G262" s="57" t="str">
        <f>IFERROR(__xludf.DUMMYFUNCTION("""COMPUTED_VALUE"""),"+30,0")</f>
        <v>+30,0</v>
      </c>
      <c r="H262" s="57" t="str">
        <f>IFERROR(__xludf.DUMMYFUNCTION("""COMPUTED_VALUE"""),"+0,31%")</f>
        <v>+0,31%</v>
      </c>
      <c r="I262" s="57" t="str">
        <f>IFERROR(__xludf.DUMMYFUNCTION("""COMPUTED_VALUE"""),"460,40K")</f>
        <v>460,40K</v>
      </c>
      <c r="J262" s="59">
        <f>IFERROR(__xludf.DUMMYFUNCTION("""COMPUTED_VALUE"""),44421.0)</f>
        <v>44421</v>
      </c>
      <c r="K262" s="57"/>
    </row>
    <row r="263">
      <c r="B263" s="57"/>
      <c r="C263" s="57" t="str">
        <f>IFERROR(__xludf.DUMMYFUNCTION("""COMPUTED_VALUE"""),"Osaka Gas")</f>
        <v>Osaka Gas</v>
      </c>
      <c r="D263" s="57" t="str">
        <f>IFERROR(__xludf.DUMMYFUNCTION("""COMPUTED_VALUE"""),"2.113,0")</f>
        <v>2.113,0</v>
      </c>
      <c r="E263" s="57" t="str">
        <f>IFERROR(__xludf.DUMMYFUNCTION("""COMPUTED_VALUE"""),"2.131,0")</f>
        <v>2.131,0</v>
      </c>
      <c r="F263" s="57" t="str">
        <f>IFERROR(__xludf.DUMMYFUNCTION("""COMPUTED_VALUE"""),"2.109,0")</f>
        <v>2.109,0</v>
      </c>
      <c r="G263" s="57">
        <f>IFERROR(__xludf.DUMMYFUNCTION("""COMPUTED_VALUE"""),-3.0)</f>
        <v>-3</v>
      </c>
      <c r="H263" s="32">
        <f>IFERROR(__xludf.DUMMYFUNCTION("""COMPUTED_VALUE"""),-0.0014)</f>
        <v>-0.0014</v>
      </c>
      <c r="I263" s="57" t="str">
        <f>IFERROR(__xludf.DUMMYFUNCTION("""COMPUTED_VALUE"""),"623,70K")</f>
        <v>623,70K</v>
      </c>
      <c r="J263" s="59">
        <f>IFERROR(__xludf.DUMMYFUNCTION("""COMPUTED_VALUE"""),44421.0)</f>
        <v>44421</v>
      </c>
      <c r="K263" s="57"/>
    </row>
    <row r="264">
      <c r="B264" s="57"/>
      <c r="C264" s="57" t="str">
        <f>IFERROR(__xludf.DUMMYFUNCTION("""COMPUTED_VALUE"""),"Otsuka Holdings Ltd")</f>
        <v>Otsuka Holdings Ltd</v>
      </c>
      <c r="D264" s="57" t="str">
        <f>IFERROR(__xludf.DUMMYFUNCTION("""COMPUTED_VALUE"""),"4.686,0")</f>
        <v>4.686,0</v>
      </c>
      <c r="E264" s="57" t="str">
        <f>IFERROR(__xludf.DUMMYFUNCTION("""COMPUTED_VALUE"""),"4.780,0")</f>
        <v>4.780,0</v>
      </c>
      <c r="F264" s="57" t="str">
        <f>IFERROR(__xludf.DUMMYFUNCTION("""COMPUTED_VALUE"""),"4.654,0")</f>
        <v>4.654,0</v>
      </c>
      <c r="G264" s="57" t="str">
        <f>IFERROR(__xludf.DUMMYFUNCTION("""COMPUTED_VALUE"""),"+44,0")</f>
        <v>+44,0</v>
      </c>
      <c r="H264" s="57" t="str">
        <f>IFERROR(__xludf.DUMMYFUNCTION("""COMPUTED_VALUE"""),"+0,95%")</f>
        <v>+0,95%</v>
      </c>
      <c r="I264" s="57" t="str">
        <f>IFERROR(__xludf.DUMMYFUNCTION("""COMPUTED_VALUE"""),"784,80K")</f>
        <v>784,80K</v>
      </c>
      <c r="J264" s="59">
        <f>IFERROR(__xludf.DUMMYFUNCTION("""COMPUTED_VALUE"""),44421.0)</f>
        <v>44421</v>
      </c>
      <c r="K264" s="57"/>
    </row>
    <row r="265">
      <c r="B265" s="57"/>
      <c r="C265" s="57" t="str">
        <f>IFERROR(__xludf.DUMMYFUNCTION("""COMPUTED_VALUE"""),"Pacific Metals")</f>
        <v>Pacific Metals</v>
      </c>
      <c r="D265" s="57" t="str">
        <f>IFERROR(__xludf.DUMMYFUNCTION("""COMPUTED_VALUE"""),"1.689,0")</f>
        <v>1.689,0</v>
      </c>
      <c r="E265" s="57" t="str">
        <f>IFERROR(__xludf.DUMMYFUNCTION("""COMPUTED_VALUE"""),"1.694,0")</f>
        <v>1.694,0</v>
      </c>
      <c r="F265" s="57" t="str">
        <f>IFERROR(__xludf.DUMMYFUNCTION("""COMPUTED_VALUE"""),"1.660,0")</f>
        <v>1.660,0</v>
      </c>
      <c r="G265" s="57">
        <f>IFERROR(__xludf.DUMMYFUNCTION("""COMPUTED_VALUE"""),-10.0)</f>
        <v>-10</v>
      </c>
      <c r="H265" s="32">
        <f>IFERROR(__xludf.DUMMYFUNCTION("""COMPUTED_VALUE"""),-0.0059)</f>
        <v>-0.0059</v>
      </c>
      <c r="I265" s="57" t="str">
        <f>IFERROR(__xludf.DUMMYFUNCTION("""COMPUTED_VALUE"""),"221,30K")</f>
        <v>221,30K</v>
      </c>
      <c r="J265" s="59">
        <f>IFERROR(__xludf.DUMMYFUNCTION("""COMPUTED_VALUE"""),44421.0)</f>
        <v>44421</v>
      </c>
      <c r="K265" s="57"/>
    </row>
    <row r="266">
      <c r="B266" s="57"/>
      <c r="C266" s="57" t="str">
        <f>IFERROR(__xludf.DUMMYFUNCTION("""COMPUTED_VALUE"""),"Panasonic")</f>
        <v>Panasonic</v>
      </c>
      <c r="D266" s="57" t="str">
        <f>IFERROR(__xludf.DUMMYFUNCTION("""COMPUTED_VALUE"""),"1.358,5")</f>
        <v>1.358,5</v>
      </c>
      <c r="E266" s="57" t="str">
        <f>IFERROR(__xludf.DUMMYFUNCTION("""COMPUTED_VALUE"""),"1.375,5")</f>
        <v>1.375,5</v>
      </c>
      <c r="F266" s="57" t="str">
        <f>IFERROR(__xludf.DUMMYFUNCTION("""COMPUTED_VALUE"""),"1.356,0")</f>
        <v>1.356,0</v>
      </c>
      <c r="G266" s="57">
        <f>IFERROR(__xludf.DUMMYFUNCTION("""COMPUTED_VALUE"""),-7.0)</f>
        <v>-7</v>
      </c>
      <c r="H266" s="32">
        <f>IFERROR(__xludf.DUMMYFUNCTION("""COMPUTED_VALUE"""),-0.0051)</f>
        <v>-0.0051</v>
      </c>
      <c r="I266" s="57" t="str">
        <f>IFERROR(__xludf.DUMMYFUNCTION("""COMPUTED_VALUE"""),"3,40M")</f>
        <v>3,40M</v>
      </c>
      <c r="J266" s="59">
        <f>IFERROR(__xludf.DUMMYFUNCTION("""COMPUTED_VALUE"""),44421.0)</f>
        <v>44421</v>
      </c>
      <c r="K266" s="57"/>
    </row>
    <row r="267">
      <c r="B267" s="57"/>
      <c r="C267" s="57" t="str">
        <f>IFERROR(__xludf.DUMMYFUNCTION("""COMPUTED_VALUE"""),"Rakuten Inc")</f>
        <v>Rakuten Inc</v>
      </c>
      <c r="D267" s="57" t="str">
        <f>IFERROR(__xludf.DUMMYFUNCTION("""COMPUTED_VALUE"""),"1.244,0")</f>
        <v>1.244,0</v>
      </c>
      <c r="E267" s="57" t="str">
        <f>IFERROR(__xludf.DUMMYFUNCTION("""COMPUTED_VALUE"""),"1.268,0")</f>
        <v>1.268,0</v>
      </c>
      <c r="F267" s="57" t="str">
        <f>IFERROR(__xludf.DUMMYFUNCTION("""COMPUTED_VALUE"""),"1.228,0")</f>
        <v>1.228,0</v>
      </c>
      <c r="G267" s="57">
        <f>IFERROR(__xludf.DUMMYFUNCTION("""COMPUTED_VALUE"""),-13.0)</f>
        <v>-13</v>
      </c>
      <c r="H267" s="32">
        <f>IFERROR(__xludf.DUMMYFUNCTION("""COMPUTED_VALUE"""),-0.0103)</f>
        <v>-0.0103</v>
      </c>
      <c r="I267" s="57" t="str">
        <f>IFERROR(__xludf.DUMMYFUNCTION("""COMPUTED_VALUE"""),"9,18M")</f>
        <v>9,18M</v>
      </c>
      <c r="J267" s="59">
        <f>IFERROR(__xludf.DUMMYFUNCTION("""COMPUTED_VALUE"""),44421.0)</f>
        <v>44421</v>
      </c>
      <c r="K267" s="57"/>
    </row>
    <row r="268">
      <c r="B268" s="57"/>
      <c r="C268" s="57" t="str">
        <f>IFERROR(__xludf.DUMMYFUNCTION("""COMPUTED_VALUE"""),"Recruit Holdings")</f>
        <v>Recruit Holdings</v>
      </c>
      <c r="D268" s="57" t="str">
        <f>IFERROR(__xludf.DUMMYFUNCTION("""COMPUTED_VALUE"""),"6.350,0")</f>
        <v>6.350,0</v>
      </c>
      <c r="E268" s="57" t="str">
        <f>IFERROR(__xludf.DUMMYFUNCTION("""COMPUTED_VALUE"""),"6.477,0")</f>
        <v>6.477,0</v>
      </c>
      <c r="F268" s="57" t="str">
        <f>IFERROR(__xludf.DUMMYFUNCTION("""COMPUTED_VALUE"""),"6.210,0")</f>
        <v>6.210,0</v>
      </c>
      <c r="G268" s="57" t="str">
        <f>IFERROR(__xludf.DUMMYFUNCTION("""COMPUTED_VALUE"""),"+578,0")</f>
        <v>+578,0</v>
      </c>
      <c r="H268" s="57" t="str">
        <f>IFERROR(__xludf.DUMMYFUNCTION("""COMPUTED_VALUE"""),"+10,01%")</f>
        <v>+10,01%</v>
      </c>
      <c r="I268" s="57" t="str">
        <f>IFERROR(__xludf.DUMMYFUNCTION("""COMPUTED_VALUE"""),"10,93M")</f>
        <v>10,93M</v>
      </c>
      <c r="J268" s="59">
        <f>IFERROR(__xludf.DUMMYFUNCTION("""COMPUTED_VALUE"""),44421.0)</f>
        <v>44421</v>
      </c>
      <c r="K268" s="57"/>
    </row>
    <row r="269">
      <c r="B269" s="57"/>
      <c r="C269" s="57" t="str">
        <f>IFERROR(__xludf.DUMMYFUNCTION("""COMPUTED_VALUE"""),"Resona Holdings, Inc.")</f>
        <v>Resona Holdings, Inc.</v>
      </c>
      <c r="D269" s="57">
        <f>IFERROR(__xludf.DUMMYFUNCTION("""COMPUTED_VALUE"""),436.6)</f>
        <v>436.6</v>
      </c>
      <c r="E269" s="57">
        <f>IFERROR(__xludf.DUMMYFUNCTION("""COMPUTED_VALUE"""),439.3)</f>
        <v>439.3</v>
      </c>
      <c r="F269" s="57">
        <f>IFERROR(__xludf.DUMMYFUNCTION("""COMPUTED_VALUE"""),436.4)</f>
        <v>436.4</v>
      </c>
      <c r="G269" s="57" t="str">
        <f>IFERROR(__xludf.DUMMYFUNCTION("""COMPUTED_VALUE"""),"+0,9")</f>
        <v>+0,9</v>
      </c>
      <c r="H269" s="57" t="str">
        <f>IFERROR(__xludf.DUMMYFUNCTION("""COMPUTED_VALUE"""),"+0,21%")</f>
        <v>+0,21%</v>
      </c>
      <c r="I269" s="57" t="str">
        <f>IFERROR(__xludf.DUMMYFUNCTION("""COMPUTED_VALUE"""),"6,83M")</f>
        <v>6,83M</v>
      </c>
      <c r="J269" s="59">
        <f>IFERROR(__xludf.DUMMYFUNCTION("""COMPUTED_VALUE"""),44421.0)</f>
        <v>44421</v>
      </c>
      <c r="K269" s="57"/>
    </row>
    <row r="270">
      <c r="B270" s="57"/>
      <c r="C270" s="57" t="str">
        <f>IFERROR(__xludf.DUMMYFUNCTION("""COMPUTED_VALUE"""),"Ricoh")</f>
        <v>Ricoh</v>
      </c>
      <c r="D270" s="57" t="str">
        <f>IFERROR(__xludf.DUMMYFUNCTION("""COMPUTED_VALUE"""),"1.120,0")</f>
        <v>1.120,0</v>
      </c>
      <c r="E270" s="57" t="str">
        <f>IFERROR(__xludf.DUMMYFUNCTION("""COMPUTED_VALUE"""),"1.128,0")</f>
        <v>1.128,0</v>
      </c>
      <c r="F270" s="57" t="str">
        <f>IFERROR(__xludf.DUMMYFUNCTION("""COMPUTED_VALUE"""),"1.089,0")</f>
        <v>1.089,0</v>
      </c>
      <c r="G270" s="57" t="str">
        <f>IFERROR(__xludf.DUMMYFUNCTION("""COMPUTED_VALUE"""),"+26,0")</f>
        <v>+26,0</v>
      </c>
      <c r="H270" s="57" t="str">
        <f>IFERROR(__xludf.DUMMYFUNCTION("""COMPUTED_VALUE"""),"+2,38%")</f>
        <v>+2,38%</v>
      </c>
      <c r="I270" s="57" t="str">
        <f>IFERROR(__xludf.DUMMYFUNCTION("""COMPUTED_VALUE"""),"3,87M")</f>
        <v>3,87M</v>
      </c>
      <c r="J270" s="59">
        <f>IFERROR(__xludf.DUMMYFUNCTION("""COMPUTED_VALUE"""),44421.0)</f>
        <v>44421</v>
      </c>
      <c r="K270" s="57"/>
    </row>
    <row r="271">
      <c r="B271" s="57"/>
      <c r="C271" s="57" t="str">
        <f>IFERROR(__xludf.DUMMYFUNCTION("""COMPUTED_VALUE"""),"Sapporo Holdings")</f>
        <v>Sapporo Holdings</v>
      </c>
      <c r="D271" s="57" t="str">
        <f>IFERROR(__xludf.DUMMYFUNCTION("""COMPUTED_VALUE"""),"2.353,0")</f>
        <v>2.353,0</v>
      </c>
      <c r="E271" s="57" t="str">
        <f>IFERROR(__xludf.DUMMYFUNCTION("""COMPUTED_VALUE"""),"2.366,0")</f>
        <v>2.366,0</v>
      </c>
      <c r="F271" s="57" t="str">
        <f>IFERROR(__xludf.DUMMYFUNCTION("""COMPUTED_VALUE"""),"2.329,0")</f>
        <v>2.329,0</v>
      </c>
      <c r="G271" s="57" t="str">
        <f>IFERROR(__xludf.DUMMYFUNCTION("""COMPUTED_VALUE"""),"+17,0")</f>
        <v>+17,0</v>
      </c>
      <c r="H271" s="57" t="str">
        <f>IFERROR(__xludf.DUMMYFUNCTION("""COMPUTED_VALUE"""),"+0,73%")</f>
        <v>+0,73%</v>
      </c>
      <c r="I271" s="57" t="str">
        <f>IFERROR(__xludf.DUMMYFUNCTION("""COMPUTED_VALUE"""),"218,40K")</f>
        <v>218,40K</v>
      </c>
      <c r="J271" s="59">
        <f>IFERROR(__xludf.DUMMYFUNCTION("""COMPUTED_VALUE"""),44421.0)</f>
        <v>44421</v>
      </c>
      <c r="K271" s="57"/>
    </row>
    <row r="272">
      <c r="B272" s="57"/>
      <c r="C272" s="57" t="str">
        <f>IFERROR(__xludf.DUMMYFUNCTION("""COMPUTED_VALUE"""),"Secom")</f>
        <v>Secom</v>
      </c>
      <c r="D272" s="57" t="str">
        <f>IFERROR(__xludf.DUMMYFUNCTION("""COMPUTED_VALUE"""),"8.454,0")</f>
        <v>8.454,0</v>
      </c>
      <c r="E272" s="57" t="str">
        <f>IFERROR(__xludf.DUMMYFUNCTION("""COMPUTED_VALUE"""),"8.495,0")</f>
        <v>8.495,0</v>
      </c>
      <c r="F272" s="57" t="str">
        <f>IFERROR(__xludf.DUMMYFUNCTION("""COMPUTED_VALUE"""),"8.377,0")</f>
        <v>8.377,0</v>
      </c>
      <c r="G272" s="57">
        <f>IFERROR(__xludf.DUMMYFUNCTION("""COMPUTED_VALUE"""),-41.0)</f>
        <v>-41</v>
      </c>
      <c r="H272" s="32">
        <f>IFERROR(__xludf.DUMMYFUNCTION("""COMPUTED_VALUE"""),-0.0048)</f>
        <v>-0.0048</v>
      </c>
      <c r="I272" s="57" t="str">
        <f>IFERROR(__xludf.DUMMYFUNCTION("""COMPUTED_VALUE"""),"717,70K")</f>
        <v>717,70K</v>
      </c>
      <c r="J272" s="59">
        <f>IFERROR(__xludf.DUMMYFUNCTION("""COMPUTED_VALUE"""),44421.0)</f>
        <v>44421</v>
      </c>
      <c r="K272" s="57"/>
    </row>
    <row r="273">
      <c r="B273" s="57"/>
      <c r="C273" s="57" t="str">
        <f>IFERROR(__xludf.DUMMYFUNCTION("""COMPUTED_VALUE"""),"Seiko Epson Cor")</f>
        <v>Seiko Epson Cor</v>
      </c>
      <c r="D273" s="57" t="str">
        <f>IFERROR(__xludf.DUMMYFUNCTION("""COMPUTED_VALUE"""),"2.090,0")</f>
        <v>2.090,0</v>
      </c>
      <c r="E273" s="57" t="str">
        <f>IFERROR(__xludf.DUMMYFUNCTION("""COMPUTED_VALUE"""),"2.110,0")</f>
        <v>2.110,0</v>
      </c>
      <c r="F273" s="57" t="str">
        <f>IFERROR(__xludf.DUMMYFUNCTION("""COMPUTED_VALUE"""),"2.086,0")</f>
        <v>2.086,0</v>
      </c>
      <c r="G273" s="57">
        <f>IFERROR(__xludf.DUMMYFUNCTION("""COMPUTED_VALUE"""),-1.0)</f>
        <v>-1</v>
      </c>
      <c r="H273" s="32">
        <f>IFERROR(__xludf.DUMMYFUNCTION("""COMPUTED_VALUE"""),-5.0E-4)</f>
        <v>-0.0005</v>
      </c>
      <c r="I273" s="57" t="str">
        <f>IFERROR(__xludf.DUMMYFUNCTION("""COMPUTED_VALUE"""),"1,59M")</f>
        <v>1,59M</v>
      </c>
      <c r="J273" s="59">
        <f>IFERROR(__xludf.DUMMYFUNCTION("""COMPUTED_VALUE"""),44421.0)</f>
        <v>44421</v>
      </c>
      <c r="K273" s="57"/>
    </row>
    <row r="274">
      <c r="B274" s="57"/>
      <c r="C274" s="57" t="str">
        <f>IFERROR(__xludf.DUMMYFUNCTION("""COMPUTED_VALUE"""),"Sekisui House")</f>
        <v>Sekisui House</v>
      </c>
      <c r="D274" s="57" t="str">
        <f>IFERROR(__xludf.DUMMYFUNCTION("""COMPUTED_VALUE"""),"2.203,5")</f>
        <v>2.203,5</v>
      </c>
      <c r="E274" s="57" t="str">
        <f>IFERROR(__xludf.DUMMYFUNCTION("""COMPUTED_VALUE"""),"2.223,5")</f>
        <v>2.223,5</v>
      </c>
      <c r="F274" s="57" t="str">
        <f>IFERROR(__xludf.DUMMYFUNCTION("""COMPUTED_VALUE"""),"2.199,0")</f>
        <v>2.199,0</v>
      </c>
      <c r="G274" s="57">
        <f>IFERROR(__xludf.DUMMYFUNCTION("""COMPUTED_VALUE"""),-5.0)</f>
        <v>-5</v>
      </c>
      <c r="H274" s="32">
        <f>IFERROR(__xludf.DUMMYFUNCTION("""COMPUTED_VALUE"""),-0.0023)</f>
        <v>-0.0023</v>
      </c>
      <c r="I274" s="57" t="str">
        <f>IFERROR(__xludf.DUMMYFUNCTION("""COMPUTED_VALUE"""),"1,04M")</f>
        <v>1,04M</v>
      </c>
      <c r="J274" s="59">
        <f>IFERROR(__xludf.DUMMYFUNCTION("""COMPUTED_VALUE"""),44421.0)</f>
        <v>44421</v>
      </c>
      <c r="K274" s="57"/>
    </row>
    <row r="275">
      <c r="B275" s="57"/>
      <c r="C275" s="57" t="str">
        <f>IFERROR(__xludf.DUMMYFUNCTION("""COMPUTED_VALUE"""),"Seven &amp; i Holdings")</f>
        <v>Seven &amp; i Holdings</v>
      </c>
      <c r="D275" s="57" t="str">
        <f>IFERROR(__xludf.DUMMYFUNCTION("""COMPUTED_VALUE"""),"4.928,0")</f>
        <v>4.928,0</v>
      </c>
      <c r="E275" s="57" t="str">
        <f>IFERROR(__xludf.DUMMYFUNCTION("""COMPUTED_VALUE"""),"4.968,0")</f>
        <v>4.968,0</v>
      </c>
      <c r="F275" s="57" t="str">
        <f>IFERROR(__xludf.DUMMYFUNCTION("""COMPUTED_VALUE"""),"4.912,0")</f>
        <v>4.912,0</v>
      </c>
      <c r="G275" s="57">
        <f>IFERROR(__xludf.DUMMYFUNCTION("""COMPUTED_VALUE"""),-39.0)</f>
        <v>-39</v>
      </c>
      <c r="H275" s="32">
        <f>IFERROR(__xludf.DUMMYFUNCTION("""COMPUTED_VALUE"""),-0.0079)</f>
        <v>-0.0079</v>
      </c>
      <c r="I275" s="57" t="str">
        <f>IFERROR(__xludf.DUMMYFUNCTION("""COMPUTED_VALUE"""),"1,22M")</f>
        <v>1,22M</v>
      </c>
      <c r="J275" s="59">
        <f>IFERROR(__xludf.DUMMYFUNCTION("""COMPUTED_VALUE"""),44421.0)</f>
        <v>44421</v>
      </c>
      <c r="K275" s="57"/>
    </row>
    <row r="276">
      <c r="B276" s="57"/>
      <c r="C276" s="57" t="str">
        <f>IFERROR(__xludf.DUMMYFUNCTION("""COMPUTED_VALUE"""),"Shimizu Corp.")</f>
        <v>Shimizu Corp.</v>
      </c>
      <c r="D276" s="57">
        <f>IFERROR(__xludf.DUMMYFUNCTION("""COMPUTED_VALUE"""),836.0)</f>
        <v>836</v>
      </c>
      <c r="E276" s="57">
        <f>IFERROR(__xludf.DUMMYFUNCTION("""COMPUTED_VALUE"""),845.0)</f>
        <v>845</v>
      </c>
      <c r="F276" s="57">
        <f>IFERROR(__xludf.DUMMYFUNCTION("""COMPUTED_VALUE"""),834.0)</f>
        <v>834</v>
      </c>
      <c r="G276" s="57">
        <f>IFERROR(__xludf.DUMMYFUNCTION("""COMPUTED_VALUE"""),-6.0)</f>
        <v>-6</v>
      </c>
      <c r="H276" s="32">
        <f>IFERROR(__xludf.DUMMYFUNCTION("""COMPUTED_VALUE"""),-0.0071)</f>
        <v>-0.0071</v>
      </c>
      <c r="I276" s="57" t="str">
        <f>IFERROR(__xludf.DUMMYFUNCTION("""COMPUTED_VALUE"""),"1,98M")</f>
        <v>1,98M</v>
      </c>
      <c r="J276" s="59">
        <f>IFERROR(__xludf.DUMMYFUNCTION("""COMPUTED_VALUE"""),44421.0)</f>
        <v>44421</v>
      </c>
      <c r="K276" s="57"/>
    </row>
    <row r="277">
      <c r="B277" s="57"/>
      <c r="C277" s="57" t="str">
        <f>IFERROR(__xludf.DUMMYFUNCTION("""COMPUTED_VALUE"""),"Shin-Etsu Chemical")</f>
        <v>Shin-Etsu Chemical</v>
      </c>
      <c r="D277" s="57" t="str">
        <f>IFERROR(__xludf.DUMMYFUNCTION("""COMPUTED_VALUE"""),"17.930,0")</f>
        <v>17.930,0</v>
      </c>
      <c r="E277" s="57" t="str">
        <f>IFERROR(__xludf.DUMMYFUNCTION("""COMPUTED_VALUE"""),"18.245,0")</f>
        <v>18.245,0</v>
      </c>
      <c r="F277" s="57" t="str">
        <f>IFERROR(__xludf.DUMMYFUNCTION("""COMPUTED_VALUE"""),"17.875,0")</f>
        <v>17.875,0</v>
      </c>
      <c r="G277" s="57">
        <f>IFERROR(__xludf.DUMMYFUNCTION("""COMPUTED_VALUE"""),-215.0)</f>
        <v>-215</v>
      </c>
      <c r="H277" s="32">
        <f>IFERROR(__xludf.DUMMYFUNCTION("""COMPUTED_VALUE"""),-0.0118)</f>
        <v>-0.0118</v>
      </c>
      <c r="I277" s="57" t="str">
        <f>IFERROR(__xludf.DUMMYFUNCTION("""COMPUTED_VALUE"""),"884,60K")</f>
        <v>884,60K</v>
      </c>
      <c r="J277" s="59">
        <f>IFERROR(__xludf.DUMMYFUNCTION("""COMPUTED_VALUE"""),44421.0)</f>
        <v>44421</v>
      </c>
      <c r="K277" s="57"/>
    </row>
    <row r="278">
      <c r="B278" s="57"/>
      <c r="C278" s="57" t="str">
        <f>IFERROR(__xludf.DUMMYFUNCTION("""COMPUTED_VALUE"""),"Shinsei Bank")</f>
        <v>Shinsei Bank</v>
      </c>
      <c r="D278" s="57" t="str">
        <f>IFERROR(__xludf.DUMMYFUNCTION("""COMPUTED_VALUE"""),"1.456,0")</f>
        <v>1.456,0</v>
      </c>
      <c r="E278" s="57" t="str">
        <f>IFERROR(__xludf.DUMMYFUNCTION("""COMPUTED_VALUE"""),"1.468,0")</f>
        <v>1.468,0</v>
      </c>
      <c r="F278" s="57" t="str">
        <f>IFERROR(__xludf.DUMMYFUNCTION("""COMPUTED_VALUE"""),"1.454,0")</f>
        <v>1.454,0</v>
      </c>
      <c r="G278" s="57">
        <f>IFERROR(__xludf.DUMMYFUNCTION("""COMPUTED_VALUE"""),-14.0)</f>
        <v>-14</v>
      </c>
      <c r="H278" s="32">
        <f>IFERROR(__xludf.DUMMYFUNCTION("""COMPUTED_VALUE"""),-0.0095)</f>
        <v>-0.0095</v>
      </c>
      <c r="I278" s="57" t="str">
        <f>IFERROR(__xludf.DUMMYFUNCTION("""COMPUTED_VALUE"""),"734,10K")</f>
        <v>734,10K</v>
      </c>
      <c r="J278" s="59">
        <f>IFERROR(__xludf.DUMMYFUNCTION("""COMPUTED_VALUE"""),44421.0)</f>
        <v>44421</v>
      </c>
      <c r="K278" s="57"/>
    </row>
    <row r="279">
      <c r="B279" s="57"/>
      <c r="C279" s="57" t="str">
        <f>IFERROR(__xludf.DUMMYFUNCTION("""COMPUTED_VALUE"""),"Shionogi")</f>
        <v>Shionogi</v>
      </c>
      <c r="D279" s="57" t="str">
        <f>IFERROR(__xludf.DUMMYFUNCTION("""COMPUTED_VALUE"""),"6.536,0")</f>
        <v>6.536,0</v>
      </c>
      <c r="E279" s="57" t="str">
        <f>IFERROR(__xludf.DUMMYFUNCTION("""COMPUTED_VALUE"""),"6.554,0")</f>
        <v>6.554,0</v>
      </c>
      <c r="F279" s="57" t="str">
        <f>IFERROR(__xludf.DUMMYFUNCTION("""COMPUTED_VALUE"""),"6.436,0")</f>
        <v>6.436,0</v>
      </c>
      <c r="G279" s="57" t="str">
        <f>IFERROR(__xludf.DUMMYFUNCTION("""COMPUTED_VALUE"""),"+33,0")</f>
        <v>+33,0</v>
      </c>
      <c r="H279" s="57" t="str">
        <f>IFERROR(__xludf.DUMMYFUNCTION("""COMPUTED_VALUE"""),"+0,51%")</f>
        <v>+0,51%</v>
      </c>
      <c r="I279" s="57" t="str">
        <f>IFERROR(__xludf.DUMMYFUNCTION("""COMPUTED_VALUE"""),"1,70M")</f>
        <v>1,70M</v>
      </c>
      <c r="J279" s="59">
        <f>IFERROR(__xludf.DUMMYFUNCTION("""COMPUTED_VALUE"""),44421.0)</f>
        <v>44421</v>
      </c>
      <c r="K279" s="57"/>
    </row>
    <row r="280">
      <c r="B280" s="57"/>
      <c r="C280" s="57" t="str">
        <f>IFERROR(__xludf.DUMMYFUNCTION("""COMPUTED_VALUE"""),"Shiseido")</f>
        <v>Shiseido</v>
      </c>
      <c r="D280" s="57" t="str">
        <f>IFERROR(__xludf.DUMMYFUNCTION("""COMPUTED_VALUE"""),"7.609,0")</f>
        <v>7.609,0</v>
      </c>
      <c r="E280" s="57" t="str">
        <f>IFERROR(__xludf.DUMMYFUNCTION("""COMPUTED_VALUE"""),"7.684,0")</f>
        <v>7.684,0</v>
      </c>
      <c r="F280" s="57" t="str">
        <f>IFERROR(__xludf.DUMMYFUNCTION("""COMPUTED_VALUE"""),"7.567,0")</f>
        <v>7.567,0</v>
      </c>
      <c r="G280" s="57" t="str">
        <f>IFERROR(__xludf.DUMMYFUNCTION("""COMPUTED_VALUE"""),"+54,0")</f>
        <v>+54,0</v>
      </c>
      <c r="H280" s="57" t="str">
        <f>IFERROR(__xludf.DUMMYFUNCTION("""COMPUTED_VALUE"""),"+0,71%")</f>
        <v>+0,71%</v>
      </c>
      <c r="I280" s="57" t="str">
        <f>IFERROR(__xludf.DUMMYFUNCTION("""COMPUTED_VALUE"""),"1,25M")</f>
        <v>1,25M</v>
      </c>
      <c r="J280" s="59">
        <f>IFERROR(__xludf.DUMMYFUNCTION("""COMPUTED_VALUE"""),44421.0)</f>
        <v>44421</v>
      </c>
      <c r="K280" s="57"/>
    </row>
    <row r="281">
      <c r="B281" s="57"/>
      <c r="C281" s="57" t="str">
        <f>IFERROR(__xludf.DUMMYFUNCTION("""COMPUTED_VALUE"""),"Shizuoka Bank")</f>
        <v>Shizuoka Bank</v>
      </c>
      <c r="D281" s="57">
        <f>IFERROR(__xludf.DUMMYFUNCTION("""COMPUTED_VALUE"""),871.0)</f>
        <v>871</v>
      </c>
      <c r="E281" s="57">
        <f>IFERROR(__xludf.DUMMYFUNCTION("""COMPUTED_VALUE"""),878.0)</f>
        <v>878</v>
      </c>
      <c r="F281" s="57">
        <f>IFERROR(__xludf.DUMMYFUNCTION("""COMPUTED_VALUE"""),869.0)</f>
        <v>869</v>
      </c>
      <c r="G281" s="57" t="str">
        <f>IFERROR(__xludf.DUMMYFUNCTION("""COMPUTED_VALUE"""),"+6,0")</f>
        <v>+6,0</v>
      </c>
      <c r="H281" s="57" t="str">
        <f>IFERROR(__xludf.DUMMYFUNCTION("""COMPUTED_VALUE"""),"+0,69%")</f>
        <v>+0,69%</v>
      </c>
      <c r="I281" s="57" t="str">
        <f>IFERROR(__xludf.DUMMYFUNCTION("""COMPUTED_VALUE"""),"2,27M")</f>
        <v>2,27M</v>
      </c>
      <c r="J281" s="59">
        <f>IFERROR(__xludf.DUMMYFUNCTION("""COMPUTED_VALUE"""),44421.0)</f>
        <v>44421</v>
      </c>
      <c r="K281" s="57"/>
    </row>
    <row r="282">
      <c r="B282" s="57"/>
      <c r="C282" s="57" t="str">
        <f>IFERROR(__xludf.DUMMYFUNCTION("""COMPUTED_VALUE"""),"Showa Denko K.K.")</f>
        <v>Showa Denko K.K.</v>
      </c>
      <c r="D282" s="57" t="str">
        <f>IFERROR(__xludf.DUMMYFUNCTION("""COMPUTED_VALUE"""),"3.370,0")</f>
        <v>3.370,0</v>
      </c>
      <c r="E282" s="57" t="str">
        <f>IFERROR(__xludf.DUMMYFUNCTION("""COMPUTED_VALUE"""),"3.380,0")</f>
        <v>3.380,0</v>
      </c>
      <c r="F282" s="57" t="str">
        <f>IFERROR(__xludf.DUMMYFUNCTION("""COMPUTED_VALUE"""),"3.290,0")</f>
        <v>3.290,0</v>
      </c>
      <c r="G282" s="57" t="str">
        <f>IFERROR(__xludf.DUMMYFUNCTION("""COMPUTED_VALUE"""),"+75,0")</f>
        <v>+75,0</v>
      </c>
      <c r="H282" s="57" t="str">
        <f>IFERROR(__xludf.DUMMYFUNCTION("""COMPUTED_VALUE"""),"+2,28%")</f>
        <v>+2,28%</v>
      </c>
      <c r="I282" s="57" t="str">
        <f>IFERROR(__xludf.DUMMYFUNCTION("""COMPUTED_VALUE"""),"1,64M")</f>
        <v>1,64M</v>
      </c>
      <c r="J282" s="59">
        <f>IFERROR(__xludf.DUMMYFUNCTION("""COMPUTED_VALUE"""),44421.0)</f>
        <v>44421</v>
      </c>
      <c r="K282" s="57"/>
    </row>
    <row r="283">
      <c r="B283" s="57"/>
      <c r="C283" s="57" t="str">
        <f>IFERROR(__xludf.DUMMYFUNCTION("""COMPUTED_VALUE"""),"SKY Perfect JSAT Holdings Inc.")</f>
        <v>SKY Perfect JSAT Holdings Inc.</v>
      </c>
      <c r="D283" s="57">
        <f>IFERROR(__xludf.DUMMYFUNCTION("""COMPUTED_VALUE"""),407.0)</f>
        <v>407</v>
      </c>
      <c r="E283" s="57">
        <f>IFERROR(__xludf.DUMMYFUNCTION("""COMPUTED_VALUE"""),410.0)</f>
        <v>410</v>
      </c>
      <c r="F283" s="57">
        <f>IFERROR(__xludf.DUMMYFUNCTION("""COMPUTED_VALUE"""),406.0)</f>
        <v>406</v>
      </c>
      <c r="G283" s="57">
        <f>IFERROR(__xludf.DUMMYFUNCTION("""COMPUTED_VALUE"""),-2.0)</f>
        <v>-2</v>
      </c>
      <c r="H283" s="32">
        <f>IFERROR(__xludf.DUMMYFUNCTION("""COMPUTED_VALUE"""),-0.0049)</f>
        <v>-0.0049</v>
      </c>
      <c r="I283" s="57" t="str">
        <f>IFERROR(__xludf.DUMMYFUNCTION("""COMPUTED_VALUE"""),"1,13M")</f>
        <v>1,13M</v>
      </c>
      <c r="J283" s="59">
        <f>IFERROR(__xludf.DUMMYFUNCTION("""COMPUTED_VALUE"""),44421.0)</f>
        <v>44421</v>
      </c>
      <c r="K283" s="57"/>
    </row>
    <row r="284">
      <c r="B284" s="57"/>
      <c r="C284" s="57" t="str">
        <f>IFERROR(__xludf.DUMMYFUNCTION("""COMPUTED_VALUE"""),"Softbank Group Corp.")</f>
        <v>Softbank Group Corp.</v>
      </c>
      <c r="D284" s="57" t="str">
        <f>IFERROR(__xludf.DUMMYFUNCTION("""COMPUTED_VALUE"""),"6.647,0")</f>
        <v>6.647,0</v>
      </c>
      <c r="E284" s="57" t="str">
        <f>IFERROR(__xludf.DUMMYFUNCTION("""COMPUTED_VALUE"""),"6.680,0")</f>
        <v>6.680,0</v>
      </c>
      <c r="F284" s="57" t="str">
        <f>IFERROR(__xludf.DUMMYFUNCTION("""COMPUTED_VALUE"""),"6.583,0")</f>
        <v>6.583,0</v>
      </c>
      <c r="G284" s="57">
        <f>IFERROR(__xludf.DUMMYFUNCTION("""COMPUTED_VALUE"""),-7.0)</f>
        <v>-7</v>
      </c>
      <c r="H284" s="32">
        <f>IFERROR(__xludf.DUMMYFUNCTION("""COMPUTED_VALUE"""),-0.0011)</f>
        <v>-0.0011</v>
      </c>
      <c r="I284" s="57" t="str">
        <f>IFERROR(__xludf.DUMMYFUNCTION("""COMPUTED_VALUE"""),"8,45M")</f>
        <v>8,45M</v>
      </c>
      <c r="J284" s="59">
        <f>IFERROR(__xludf.DUMMYFUNCTION("""COMPUTED_VALUE"""),44421.0)</f>
        <v>44421</v>
      </c>
      <c r="K284" s="57"/>
    </row>
    <row r="285">
      <c r="B285" s="57"/>
      <c r="C285" s="57" t="str">
        <f>IFERROR(__xludf.DUMMYFUNCTION("""COMPUTED_VALUE"""),"Sojitz Corp.")</f>
        <v>Sojitz Corp.</v>
      </c>
      <c r="D285" s="57">
        <f>IFERROR(__xludf.DUMMYFUNCTION("""COMPUTED_VALUE"""),327.0)</f>
        <v>327</v>
      </c>
      <c r="E285" s="57">
        <f>IFERROR(__xludf.DUMMYFUNCTION("""COMPUTED_VALUE"""),329.0)</f>
        <v>329</v>
      </c>
      <c r="F285" s="57">
        <f>IFERROR(__xludf.DUMMYFUNCTION("""COMPUTED_VALUE"""),322.0)</f>
        <v>322</v>
      </c>
      <c r="G285" s="57" t="str">
        <f>IFERROR(__xludf.DUMMYFUNCTION("""COMPUTED_VALUE"""),"+3,0")</f>
        <v>+3,0</v>
      </c>
      <c r="H285" s="57" t="str">
        <f>IFERROR(__xludf.DUMMYFUNCTION("""COMPUTED_VALUE"""),"+0,93%")</f>
        <v>+0,93%</v>
      </c>
      <c r="I285" s="57" t="str">
        <f>IFERROR(__xludf.DUMMYFUNCTION("""COMPUTED_VALUE"""),"7,35M")</f>
        <v>7,35M</v>
      </c>
      <c r="J285" s="59">
        <f>IFERROR(__xludf.DUMMYFUNCTION("""COMPUTED_VALUE"""),44421.0)</f>
        <v>44421</v>
      </c>
      <c r="K285" s="57"/>
    </row>
    <row r="286">
      <c r="B286" s="57"/>
      <c r="C286" s="57" t="str">
        <f>IFERROR(__xludf.DUMMYFUNCTION("""COMPUTED_VALUE"""),"Sompo Holdings Inc")</f>
        <v>Sompo Holdings Inc</v>
      </c>
      <c r="D286" s="57" t="str">
        <f>IFERROR(__xludf.DUMMYFUNCTION("""COMPUTED_VALUE"""),"4.718,0")</f>
        <v>4.718,0</v>
      </c>
      <c r="E286" s="57" t="str">
        <f>IFERROR(__xludf.DUMMYFUNCTION("""COMPUTED_VALUE"""),"4.775,0")</f>
        <v>4.775,0</v>
      </c>
      <c r="F286" s="57" t="str">
        <f>IFERROR(__xludf.DUMMYFUNCTION("""COMPUTED_VALUE"""),"4.715,0")</f>
        <v>4.715,0</v>
      </c>
      <c r="G286" s="57">
        <f>IFERROR(__xludf.DUMMYFUNCTION("""COMPUTED_VALUE"""),-22.0)</f>
        <v>-22</v>
      </c>
      <c r="H286" s="32">
        <f>IFERROR(__xludf.DUMMYFUNCTION("""COMPUTED_VALUE"""),-0.0046)</f>
        <v>-0.0046</v>
      </c>
      <c r="I286" s="57" t="str">
        <f>IFERROR(__xludf.DUMMYFUNCTION("""COMPUTED_VALUE"""),"685,80K")</f>
        <v>685,80K</v>
      </c>
      <c r="J286" s="59">
        <f>IFERROR(__xludf.DUMMYFUNCTION("""COMPUTED_VALUE"""),44421.0)</f>
        <v>44421</v>
      </c>
      <c r="K286" s="57"/>
    </row>
    <row r="287">
      <c r="B287" s="57"/>
      <c r="C287" s="57" t="str">
        <f>IFERROR(__xludf.DUMMYFUNCTION("""COMPUTED_VALUE"""),"Sony")</f>
        <v>Sony</v>
      </c>
      <c r="D287" s="57" t="str">
        <f>IFERROR(__xludf.DUMMYFUNCTION("""COMPUTED_VALUE"""),"11.165,0")</f>
        <v>11.165,0</v>
      </c>
      <c r="E287" s="57" t="str">
        <f>IFERROR(__xludf.DUMMYFUNCTION("""COMPUTED_VALUE"""),"11.215,0")</f>
        <v>11.215,0</v>
      </c>
      <c r="F287" s="57" t="str">
        <f>IFERROR(__xludf.DUMMYFUNCTION("""COMPUTED_VALUE"""),"11.010,0")</f>
        <v>11.010,0</v>
      </c>
      <c r="G287" s="57" t="str">
        <f>IFERROR(__xludf.DUMMYFUNCTION("""COMPUTED_VALUE"""),"+155,0")</f>
        <v>+155,0</v>
      </c>
      <c r="H287" s="57" t="str">
        <f>IFERROR(__xludf.DUMMYFUNCTION("""COMPUTED_VALUE"""),"+1,41%")</f>
        <v>+1,41%</v>
      </c>
      <c r="I287" s="57" t="str">
        <f>IFERROR(__xludf.DUMMYFUNCTION("""COMPUTED_VALUE"""),"2,79M")</f>
        <v>2,79M</v>
      </c>
      <c r="J287" s="59">
        <f>IFERROR(__xludf.DUMMYFUNCTION("""COMPUTED_VALUE"""),44421.0)</f>
        <v>44421</v>
      </c>
      <c r="K287" s="57"/>
    </row>
    <row r="288">
      <c r="B288" s="57"/>
      <c r="C288" s="57" t="str">
        <f>IFERROR(__xludf.DUMMYFUNCTION("""COMPUTED_VALUE"""),"Subaru Corp")</f>
        <v>Subaru Corp</v>
      </c>
      <c r="D288" s="57" t="str">
        <f>IFERROR(__xludf.DUMMYFUNCTION("""COMPUTED_VALUE"""),"2.203,5")</f>
        <v>2.203,5</v>
      </c>
      <c r="E288" s="57" t="str">
        <f>IFERROR(__xludf.DUMMYFUNCTION("""COMPUTED_VALUE"""),"2.205,0")</f>
        <v>2.205,0</v>
      </c>
      <c r="F288" s="57" t="str">
        <f>IFERROR(__xludf.DUMMYFUNCTION("""COMPUTED_VALUE"""),"2.179,5")</f>
        <v>2.179,5</v>
      </c>
      <c r="G288" s="57" t="str">
        <f>IFERROR(__xludf.DUMMYFUNCTION("""COMPUTED_VALUE"""),"+22,5")</f>
        <v>+22,5</v>
      </c>
      <c r="H288" s="57" t="str">
        <f>IFERROR(__xludf.DUMMYFUNCTION("""COMPUTED_VALUE"""),"+1,03%")</f>
        <v>+1,03%</v>
      </c>
      <c r="I288" s="57" t="str">
        <f>IFERROR(__xludf.DUMMYFUNCTION("""COMPUTED_VALUE"""),"2,35M")</f>
        <v>2,35M</v>
      </c>
      <c r="J288" s="59">
        <f>IFERROR(__xludf.DUMMYFUNCTION("""COMPUTED_VALUE"""),44421.0)</f>
        <v>44421</v>
      </c>
      <c r="K288" s="57"/>
    </row>
    <row r="289">
      <c r="B289" s="57"/>
      <c r="C289" s="57" t="str">
        <f>IFERROR(__xludf.DUMMYFUNCTION("""COMPUTED_VALUE"""),"SUMCO Corp.")</f>
        <v>SUMCO Corp.</v>
      </c>
      <c r="D289" s="57" t="str">
        <f>IFERROR(__xludf.DUMMYFUNCTION("""COMPUTED_VALUE"""),"2.274,0")</f>
        <v>2.274,0</v>
      </c>
      <c r="E289" s="57" t="str">
        <f>IFERROR(__xludf.DUMMYFUNCTION("""COMPUTED_VALUE"""),"2.312,0")</f>
        <v>2.312,0</v>
      </c>
      <c r="F289" s="57" t="str">
        <f>IFERROR(__xludf.DUMMYFUNCTION("""COMPUTED_VALUE"""),"2.248,0")</f>
        <v>2.248,0</v>
      </c>
      <c r="G289" s="57">
        <f>IFERROR(__xludf.DUMMYFUNCTION("""COMPUTED_VALUE"""),-6.0)</f>
        <v>-6</v>
      </c>
      <c r="H289" s="32">
        <f>IFERROR(__xludf.DUMMYFUNCTION("""COMPUTED_VALUE"""),-0.0026)</f>
        <v>-0.0026</v>
      </c>
      <c r="I289" s="57" t="str">
        <f>IFERROR(__xludf.DUMMYFUNCTION("""COMPUTED_VALUE"""),"5,74M")</f>
        <v>5,74M</v>
      </c>
      <c r="J289" s="59">
        <f>IFERROR(__xludf.DUMMYFUNCTION("""COMPUTED_VALUE"""),44421.0)</f>
        <v>44421</v>
      </c>
      <c r="K289" s="57"/>
    </row>
    <row r="290">
      <c r="B290" s="57"/>
      <c r="C290" s="57" t="str">
        <f>IFERROR(__xludf.DUMMYFUNCTION("""COMPUTED_VALUE"""),"Sumitomo Chemical")</f>
        <v>Sumitomo Chemical</v>
      </c>
      <c r="D290" s="57">
        <f>IFERROR(__xludf.DUMMYFUNCTION("""COMPUTED_VALUE"""),566.0)</f>
        <v>566</v>
      </c>
      <c r="E290" s="57">
        <f>IFERROR(__xludf.DUMMYFUNCTION("""COMPUTED_VALUE"""),574.0)</f>
        <v>574</v>
      </c>
      <c r="F290" s="57">
        <f>IFERROR(__xludf.DUMMYFUNCTION("""COMPUTED_VALUE"""),566.0)</f>
        <v>566</v>
      </c>
      <c r="G290" s="57">
        <f>IFERROR(__xludf.DUMMYFUNCTION("""COMPUTED_VALUE"""),-7.0)</f>
        <v>-7</v>
      </c>
      <c r="H290" s="32">
        <f>IFERROR(__xludf.DUMMYFUNCTION("""COMPUTED_VALUE"""),-0.0122)</f>
        <v>-0.0122</v>
      </c>
      <c r="I290" s="57" t="str">
        <f>IFERROR(__xludf.DUMMYFUNCTION("""COMPUTED_VALUE"""),"5,37M")</f>
        <v>5,37M</v>
      </c>
      <c r="J290" s="59">
        <f>IFERROR(__xludf.DUMMYFUNCTION("""COMPUTED_VALUE"""),44421.0)</f>
        <v>44421</v>
      </c>
      <c r="K290" s="57"/>
    </row>
    <row r="291">
      <c r="B291" s="57"/>
      <c r="C291" s="57" t="str">
        <f>IFERROR(__xludf.DUMMYFUNCTION("""COMPUTED_VALUE"""),"Sumitomo Corp.")</f>
        <v>Sumitomo Corp.</v>
      </c>
      <c r="D291" s="57" t="str">
        <f>IFERROR(__xludf.DUMMYFUNCTION("""COMPUTED_VALUE"""),"1.584,0")</f>
        <v>1.584,0</v>
      </c>
      <c r="E291" s="57" t="str">
        <f>IFERROR(__xludf.DUMMYFUNCTION("""COMPUTED_VALUE"""),"1.588,5")</f>
        <v>1.588,5</v>
      </c>
      <c r="F291" s="57" t="str">
        <f>IFERROR(__xludf.DUMMYFUNCTION("""COMPUTED_VALUE"""),"1.572,5")</f>
        <v>1.572,5</v>
      </c>
      <c r="G291" s="57" t="str">
        <f>IFERROR(__xludf.DUMMYFUNCTION("""COMPUTED_VALUE"""),"+7,0")</f>
        <v>+7,0</v>
      </c>
      <c r="H291" s="57" t="str">
        <f>IFERROR(__xludf.DUMMYFUNCTION("""COMPUTED_VALUE"""),"+0,44%")</f>
        <v>+0,44%</v>
      </c>
      <c r="I291" s="57" t="str">
        <f>IFERROR(__xludf.DUMMYFUNCTION("""COMPUTED_VALUE"""),"1,83M")</f>
        <v>1,83M</v>
      </c>
      <c r="J291" s="59">
        <f>IFERROR(__xludf.DUMMYFUNCTION("""COMPUTED_VALUE"""),44421.0)</f>
        <v>44421</v>
      </c>
      <c r="K291" s="57"/>
    </row>
    <row r="292">
      <c r="B292" s="57"/>
      <c r="C292" s="57" t="str">
        <f>IFERROR(__xludf.DUMMYFUNCTION("""COMPUTED_VALUE"""),"Sumitomo Dainippon Pharma")</f>
        <v>Sumitomo Dainippon Pharma</v>
      </c>
      <c r="D292" s="57" t="str">
        <f>IFERROR(__xludf.DUMMYFUNCTION("""COMPUTED_VALUE"""),"1.900,0")</f>
        <v>1.900,0</v>
      </c>
      <c r="E292" s="57" t="str">
        <f>IFERROR(__xludf.DUMMYFUNCTION("""COMPUTED_VALUE"""),"1.906,0")</f>
        <v>1.906,0</v>
      </c>
      <c r="F292" s="57" t="str">
        <f>IFERROR(__xludf.DUMMYFUNCTION("""COMPUTED_VALUE"""),"1.860,0")</f>
        <v>1.860,0</v>
      </c>
      <c r="G292" s="57" t="str">
        <f>IFERROR(__xludf.DUMMYFUNCTION("""COMPUTED_VALUE"""),"+25,0")</f>
        <v>+25,0</v>
      </c>
      <c r="H292" s="57" t="str">
        <f>IFERROR(__xludf.DUMMYFUNCTION("""COMPUTED_VALUE"""),"+1,33%")</f>
        <v>+1,33%</v>
      </c>
      <c r="I292" s="57" t="str">
        <f>IFERROR(__xludf.DUMMYFUNCTION("""COMPUTED_VALUE"""),"1,08M")</f>
        <v>1,08M</v>
      </c>
      <c r="J292" s="59">
        <f>IFERROR(__xludf.DUMMYFUNCTION("""COMPUTED_VALUE"""),44421.0)</f>
        <v>44421</v>
      </c>
      <c r="K292" s="57"/>
    </row>
    <row r="293">
      <c r="B293" s="57"/>
      <c r="C293" s="57" t="str">
        <f>IFERROR(__xludf.DUMMYFUNCTION("""COMPUTED_VALUE"""),"Sumitomo Electric Industries")</f>
        <v>Sumitomo Electric Industries</v>
      </c>
      <c r="D293" s="57" t="str">
        <f>IFERROR(__xludf.DUMMYFUNCTION("""COMPUTED_VALUE"""),"1.530,0")</f>
        <v>1.530,0</v>
      </c>
      <c r="E293" s="57" t="str">
        <f>IFERROR(__xludf.DUMMYFUNCTION("""COMPUTED_VALUE"""),"1.535,0")</f>
        <v>1.535,0</v>
      </c>
      <c r="F293" s="57" t="str">
        <f>IFERROR(__xludf.DUMMYFUNCTION("""COMPUTED_VALUE"""),"1.516,0")</f>
        <v>1.516,0</v>
      </c>
      <c r="G293" s="57" t="str">
        <f>IFERROR(__xludf.DUMMYFUNCTION("""COMPUTED_VALUE"""),"+4,5")</f>
        <v>+4,5</v>
      </c>
      <c r="H293" s="57" t="str">
        <f>IFERROR(__xludf.DUMMYFUNCTION("""COMPUTED_VALUE"""),"+0,29%")</f>
        <v>+0,29%</v>
      </c>
      <c r="I293" s="57" t="str">
        <f>IFERROR(__xludf.DUMMYFUNCTION("""COMPUTED_VALUE"""),"2,47M")</f>
        <v>2,47M</v>
      </c>
      <c r="J293" s="59">
        <f>IFERROR(__xludf.DUMMYFUNCTION("""COMPUTED_VALUE"""),44421.0)</f>
        <v>44421</v>
      </c>
      <c r="K293" s="57"/>
    </row>
    <row r="294">
      <c r="B294" s="57"/>
      <c r="C294" s="57" t="str">
        <f>IFERROR(__xludf.DUMMYFUNCTION("""COMPUTED_VALUE"""),"Sumitomo Heavy Industries")</f>
        <v>Sumitomo Heavy Industries</v>
      </c>
      <c r="D294" s="57" t="str">
        <f>IFERROR(__xludf.DUMMYFUNCTION("""COMPUTED_VALUE"""),"3.125,0")</f>
        <v>3.125,0</v>
      </c>
      <c r="E294" s="57" t="str">
        <f>IFERROR(__xludf.DUMMYFUNCTION("""COMPUTED_VALUE"""),"3.205,0")</f>
        <v>3.205,0</v>
      </c>
      <c r="F294" s="57" t="str">
        <f>IFERROR(__xludf.DUMMYFUNCTION("""COMPUTED_VALUE"""),"3.120,0")</f>
        <v>3.120,0</v>
      </c>
      <c r="G294" s="57">
        <f>IFERROR(__xludf.DUMMYFUNCTION("""COMPUTED_VALUE"""),-65.0)</f>
        <v>-65</v>
      </c>
      <c r="H294" s="32">
        <f>IFERROR(__xludf.DUMMYFUNCTION("""COMPUTED_VALUE"""),-0.0204)</f>
        <v>-0.0204</v>
      </c>
      <c r="I294" s="57" t="str">
        <f>IFERROR(__xludf.DUMMYFUNCTION("""COMPUTED_VALUE"""),"271,80K")</f>
        <v>271,80K</v>
      </c>
      <c r="J294" s="59">
        <f>IFERROR(__xludf.DUMMYFUNCTION("""COMPUTED_VALUE"""),44421.0)</f>
        <v>44421</v>
      </c>
      <c r="K294" s="57"/>
    </row>
    <row r="295">
      <c r="B295" s="57"/>
      <c r="C295" s="57" t="str">
        <f>IFERROR(__xludf.DUMMYFUNCTION("""COMPUTED_VALUE"""),"Sumitomo Metal Mining")</f>
        <v>Sumitomo Metal Mining</v>
      </c>
      <c r="D295" s="57" t="str">
        <f>IFERROR(__xludf.DUMMYFUNCTION("""COMPUTED_VALUE"""),"4.386,0")</f>
        <v>4.386,0</v>
      </c>
      <c r="E295" s="57" t="str">
        <f>IFERROR(__xludf.DUMMYFUNCTION("""COMPUTED_VALUE"""),"4.419,0")</f>
        <v>4.419,0</v>
      </c>
      <c r="F295" s="57" t="str">
        <f>IFERROR(__xludf.DUMMYFUNCTION("""COMPUTED_VALUE"""),"4.351,0")</f>
        <v>4.351,0</v>
      </c>
      <c r="G295" s="57" t="str">
        <f>IFERROR(__xludf.DUMMYFUNCTION("""COMPUTED_VALUE"""),"+8,0")</f>
        <v>+8,0</v>
      </c>
      <c r="H295" s="57" t="str">
        <f>IFERROR(__xludf.DUMMYFUNCTION("""COMPUTED_VALUE"""),"+0,18%")</f>
        <v>+0,18%</v>
      </c>
      <c r="I295" s="57" t="str">
        <f>IFERROR(__xludf.DUMMYFUNCTION("""COMPUTED_VALUE"""),"1,18M")</f>
        <v>1,18M</v>
      </c>
      <c r="J295" s="59">
        <f>IFERROR(__xludf.DUMMYFUNCTION("""COMPUTED_VALUE"""),44421.0)</f>
        <v>44421</v>
      </c>
      <c r="K295" s="57"/>
    </row>
    <row r="296">
      <c r="B296" s="57"/>
      <c r="C296" s="57" t="str">
        <f>IFERROR(__xludf.DUMMYFUNCTION("""COMPUTED_VALUE"""),"Sumitomo Mitsui")</f>
        <v>Sumitomo Mitsui</v>
      </c>
      <c r="D296" s="57" t="str">
        <f>IFERROR(__xludf.DUMMYFUNCTION("""COMPUTED_VALUE"""),"3.720,0")</f>
        <v>3.720,0</v>
      </c>
      <c r="E296" s="57" t="str">
        <f>IFERROR(__xludf.DUMMYFUNCTION("""COMPUTED_VALUE"""),"3.742,0")</f>
        <v>3.742,0</v>
      </c>
      <c r="F296" s="57" t="str">
        <f>IFERROR(__xludf.DUMMYFUNCTION("""COMPUTED_VALUE"""),"3.714,0")</f>
        <v>3.714,0</v>
      </c>
      <c r="G296" s="57">
        <f>IFERROR(__xludf.DUMMYFUNCTION("""COMPUTED_VALUE"""),-28.0)</f>
        <v>-28</v>
      </c>
      <c r="H296" s="32">
        <f>IFERROR(__xludf.DUMMYFUNCTION("""COMPUTED_VALUE"""),-0.0075)</f>
        <v>-0.0075</v>
      </c>
      <c r="I296" s="57" t="str">
        <f>IFERROR(__xludf.DUMMYFUNCTION("""COMPUTED_VALUE"""),"676,30K")</f>
        <v>676,30K</v>
      </c>
      <c r="J296" s="59">
        <f>IFERROR(__xludf.DUMMYFUNCTION("""COMPUTED_VALUE"""),44421.0)</f>
        <v>44421</v>
      </c>
      <c r="K296" s="57"/>
    </row>
    <row r="297">
      <c r="B297" s="57"/>
      <c r="C297" s="57" t="str">
        <f>IFERROR(__xludf.DUMMYFUNCTION("""COMPUTED_VALUE"""),"Sumitomo Mitsui Financial")</f>
        <v>Sumitomo Mitsui Financial</v>
      </c>
      <c r="D297" s="57" t="str">
        <f>IFERROR(__xludf.DUMMYFUNCTION("""COMPUTED_VALUE"""),"3.873,0")</f>
        <v>3.873,0</v>
      </c>
      <c r="E297" s="57" t="str">
        <f>IFERROR(__xludf.DUMMYFUNCTION("""COMPUTED_VALUE"""),"3.899,0")</f>
        <v>3.899,0</v>
      </c>
      <c r="F297" s="57" t="str">
        <f>IFERROR(__xludf.DUMMYFUNCTION("""COMPUTED_VALUE"""),"3.863,0")</f>
        <v>3.863,0</v>
      </c>
      <c r="G297" s="57">
        <f>IFERROR(__xludf.DUMMYFUNCTION("""COMPUTED_VALUE"""),-16.0)</f>
        <v>-16</v>
      </c>
      <c r="H297" s="32">
        <f>IFERROR(__xludf.DUMMYFUNCTION("""COMPUTED_VALUE"""),-0.0041)</f>
        <v>-0.0041</v>
      </c>
      <c r="I297" s="57" t="str">
        <f>IFERROR(__xludf.DUMMYFUNCTION("""COMPUTED_VALUE"""),"3,33M")</f>
        <v>3,33M</v>
      </c>
      <c r="J297" s="59">
        <f>IFERROR(__xludf.DUMMYFUNCTION("""COMPUTED_VALUE"""),44421.0)</f>
        <v>44421</v>
      </c>
      <c r="K297" s="57"/>
    </row>
    <row r="298">
      <c r="B298" s="57"/>
      <c r="C298" s="57" t="str">
        <f>IFERROR(__xludf.DUMMYFUNCTION("""COMPUTED_VALUE"""),"Sumitomo Osaka Cement")</f>
        <v>Sumitomo Osaka Cement</v>
      </c>
      <c r="D298" s="57" t="str">
        <f>IFERROR(__xludf.DUMMYFUNCTION("""COMPUTED_VALUE"""),"3.160,0")</f>
        <v>3.160,0</v>
      </c>
      <c r="E298" s="57" t="str">
        <f>IFERROR(__xludf.DUMMYFUNCTION("""COMPUTED_VALUE"""),"3.175,0")</f>
        <v>3.175,0</v>
      </c>
      <c r="F298" s="57" t="str">
        <f>IFERROR(__xludf.DUMMYFUNCTION("""COMPUTED_VALUE"""),"3.135,0")</f>
        <v>3.135,0</v>
      </c>
      <c r="G298" s="57" t="str">
        <f>IFERROR(__xludf.DUMMYFUNCTION("""COMPUTED_VALUE"""),"+25,0")</f>
        <v>+25,0</v>
      </c>
      <c r="H298" s="57" t="str">
        <f>IFERROR(__xludf.DUMMYFUNCTION("""COMPUTED_VALUE"""),"+0,80%")</f>
        <v>+0,80%</v>
      </c>
      <c r="I298" s="57" t="str">
        <f>IFERROR(__xludf.DUMMYFUNCTION("""COMPUTED_VALUE"""),"91,80K")</f>
        <v>91,80K</v>
      </c>
      <c r="J298" s="59">
        <f>IFERROR(__xludf.DUMMYFUNCTION("""COMPUTED_VALUE"""),44421.0)</f>
        <v>44421</v>
      </c>
      <c r="K298" s="57"/>
    </row>
    <row r="299">
      <c r="B299" s="57"/>
      <c r="C299" s="57" t="str">
        <f>IFERROR(__xludf.DUMMYFUNCTION("""COMPUTED_VALUE"""),"Sumitomo Realty &amp; Development Co.")</f>
        <v>Sumitomo Realty &amp; Development Co.</v>
      </c>
      <c r="D299" s="57" t="str">
        <f>IFERROR(__xludf.DUMMYFUNCTION("""COMPUTED_VALUE"""),"3.618,0")</f>
        <v>3.618,0</v>
      </c>
      <c r="E299" s="57" t="str">
        <f>IFERROR(__xludf.DUMMYFUNCTION("""COMPUTED_VALUE"""),"3.678,0")</f>
        <v>3.678,0</v>
      </c>
      <c r="F299" s="57" t="str">
        <f>IFERROR(__xludf.DUMMYFUNCTION("""COMPUTED_VALUE"""),"3.600,0")</f>
        <v>3.600,0</v>
      </c>
      <c r="G299" s="57">
        <f>IFERROR(__xludf.DUMMYFUNCTION("""COMPUTED_VALUE"""),-84.0)</f>
        <v>-84</v>
      </c>
      <c r="H299" s="32">
        <f>IFERROR(__xludf.DUMMYFUNCTION("""COMPUTED_VALUE"""),-0.0227)</f>
        <v>-0.0227</v>
      </c>
      <c r="I299" s="57" t="str">
        <f>IFERROR(__xludf.DUMMYFUNCTION("""COMPUTED_VALUE"""),"1,10M")</f>
        <v>1,10M</v>
      </c>
      <c r="J299" s="59">
        <f>IFERROR(__xludf.DUMMYFUNCTION("""COMPUTED_VALUE"""),44421.0)</f>
        <v>44421</v>
      </c>
      <c r="K299" s="57"/>
    </row>
    <row r="300">
      <c r="B300" s="57"/>
      <c r="C300" s="57" t="str">
        <f>IFERROR(__xludf.DUMMYFUNCTION("""COMPUTED_VALUE"""),"Suzuki Motor Corp.")</f>
        <v>Suzuki Motor Corp.</v>
      </c>
      <c r="D300" s="57" t="str">
        <f>IFERROR(__xludf.DUMMYFUNCTION("""COMPUTED_VALUE"""),"4.889,0")</f>
        <v>4.889,0</v>
      </c>
      <c r="E300" s="57" t="str">
        <f>IFERROR(__xludf.DUMMYFUNCTION("""COMPUTED_VALUE"""),"4.918,0")</f>
        <v>4.918,0</v>
      </c>
      <c r="F300" s="57" t="str">
        <f>IFERROR(__xludf.DUMMYFUNCTION("""COMPUTED_VALUE"""),"4.836,0")</f>
        <v>4.836,0</v>
      </c>
      <c r="G300" s="57">
        <f>IFERROR(__xludf.DUMMYFUNCTION("""COMPUTED_VALUE"""),-16.0)</f>
        <v>-16</v>
      </c>
      <c r="H300" s="32">
        <f>IFERROR(__xludf.DUMMYFUNCTION("""COMPUTED_VALUE"""),-0.0033)</f>
        <v>-0.0033</v>
      </c>
      <c r="I300" s="57" t="str">
        <f>IFERROR(__xludf.DUMMYFUNCTION("""COMPUTED_VALUE"""),"1,30M")</f>
        <v>1,30M</v>
      </c>
      <c r="J300" s="59">
        <f>IFERROR(__xludf.DUMMYFUNCTION("""COMPUTED_VALUE"""),44421.0)</f>
        <v>44421</v>
      </c>
      <c r="K300" s="57"/>
    </row>
    <row r="301">
      <c r="B301" s="57"/>
      <c r="C301" s="57" t="str">
        <f>IFERROR(__xludf.DUMMYFUNCTION("""COMPUTED_VALUE"""),"T&amp;D Holdings, Inc.")</f>
        <v>T&amp;D Holdings, Inc.</v>
      </c>
      <c r="D301" s="57" t="str">
        <f>IFERROR(__xludf.DUMMYFUNCTION("""COMPUTED_VALUE"""),"1.437,0")</f>
        <v>1.437,0</v>
      </c>
      <c r="E301" s="57" t="str">
        <f>IFERROR(__xludf.DUMMYFUNCTION("""COMPUTED_VALUE"""),"1.449,0")</f>
        <v>1.449,0</v>
      </c>
      <c r="F301" s="57" t="str">
        <f>IFERROR(__xludf.DUMMYFUNCTION("""COMPUTED_VALUE"""),"1.430,0")</f>
        <v>1.430,0</v>
      </c>
      <c r="G301" s="57">
        <f>IFERROR(__xludf.DUMMYFUNCTION("""COMPUTED_VALUE"""),-4.0)</f>
        <v>-4</v>
      </c>
      <c r="H301" s="32">
        <f>IFERROR(__xludf.DUMMYFUNCTION("""COMPUTED_VALUE"""),-0.0028)</f>
        <v>-0.0028</v>
      </c>
      <c r="I301" s="57" t="str">
        <f>IFERROR(__xludf.DUMMYFUNCTION("""COMPUTED_VALUE"""),"1,43M")</f>
        <v>1,43M</v>
      </c>
      <c r="J301" s="59">
        <f>IFERROR(__xludf.DUMMYFUNCTION("""COMPUTED_VALUE"""),44421.0)</f>
        <v>44421</v>
      </c>
      <c r="K301" s="57"/>
    </row>
    <row r="302">
      <c r="B302" s="57"/>
      <c r="C302" s="57" t="str">
        <f>IFERROR(__xludf.DUMMYFUNCTION("""COMPUTED_VALUE"""),"Taiheiyo Cement Corp.")</f>
        <v>Taiheiyo Cement Corp.</v>
      </c>
      <c r="D302" s="57" t="str">
        <f>IFERROR(__xludf.DUMMYFUNCTION("""COMPUTED_VALUE"""),"2.644,0")</f>
        <v>2.644,0</v>
      </c>
      <c r="E302" s="57" t="str">
        <f>IFERROR(__xludf.DUMMYFUNCTION("""COMPUTED_VALUE"""),"2.664,0")</f>
        <v>2.664,0</v>
      </c>
      <c r="F302" s="57" t="str">
        <f>IFERROR(__xludf.DUMMYFUNCTION("""COMPUTED_VALUE"""),"2.628,0")</f>
        <v>2.628,0</v>
      </c>
      <c r="G302" s="57" t="str">
        <f>IFERROR(__xludf.DUMMYFUNCTION("""COMPUTED_VALUE"""),"+1,0")</f>
        <v>+1,0</v>
      </c>
      <c r="H302" s="57" t="str">
        <f>IFERROR(__xludf.DUMMYFUNCTION("""COMPUTED_VALUE"""),"+0,04%")</f>
        <v>+0,04%</v>
      </c>
      <c r="I302" s="57" t="str">
        <f>IFERROR(__xludf.DUMMYFUNCTION("""COMPUTED_VALUE"""),"668,20K")</f>
        <v>668,20K</v>
      </c>
      <c r="J302" s="59">
        <f>IFERROR(__xludf.DUMMYFUNCTION("""COMPUTED_VALUE"""),44421.0)</f>
        <v>44421</v>
      </c>
      <c r="K302" s="57"/>
    </row>
    <row r="303">
      <c r="B303" s="57"/>
      <c r="C303" s="57" t="str">
        <f>IFERROR(__xludf.DUMMYFUNCTION("""COMPUTED_VALUE"""),"Taisei Corp.")</f>
        <v>Taisei Corp.</v>
      </c>
      <c r="D303" s="57" t="str">
        <f>IFERROR(__xludf.DUMMYFUNCTION("""COMPUTED_VALUE"""),"3.610,0")</f>
        <v>3.610,0</v>
      </c>
      <c r="E303" s="57" t="str">
        <f>IFERROR(__xludf.DUMMYFUNCTION("""COMPUTED_VALUE"""),"3.650,0")</f>
        <v>3.650,0</v>
      </c>
      <c r="F303" s="57" t="str">
        <f>IFERROR(__xludf.DUMMYFUNCTION("""COMPUTED_VALUE"""),"3.600,0")</f>
        <v>3.600,0</v>
      </c>
      <c r="G303" s="57">
        <f>IFERROR(__xludf.DUMMYFUNCTION("""COMPUTED_VALUE"""),-15.0)</f>
        <v>-15</v>
      </c>
      <c r="H303" s="32">
        <f>IFERROR(__xludf.DUMMYFUNCTION("""COMPUTED_VALUE"""),-0.0041)</f>
        <v>-0.0041</v>
      </c>
      <c r="I303" s="57" t="str">
        <f>IFERROR(__xludf.DUMMYFUNCTION("""COMPUTED_VALUE"""),"433,60K")</f>
        <v>433,60K</v>
      </c>
      <c r="J303" s="59">
        <f>IFERROR(__xludf.DUMMYFUNCTION("""COMPUTED_VALUE"""),44421.0)</f>
        <v>44421</v>
      </c>
      <c r="K303" s="57"/>
    </row>
    <row r="304">
      <c r="B304" s="57"/>
      <c r="C304" s="57" t="str">
        <f>IFERROR(__xludf.DUMMYFUNCTION("""COMPUTED_VALUE"""),"Taiyo Yuden")</f>
        <v>Taiyo Yuden</v>
      </c>
      <c r="D304" s="57" t="str">
        <f>IFERROR(__xludf.DUMMYFUNCTION("""COMPUTED_VALUE"""),"5.840,0")</f>
        <v>5.840,0</v>
      </c>
      <c r="E304" s="57" t="str">
        <f>IFERROR(__xludf.DUMMYFUNCTION("""COMPUTED_VALUE"""),"5.980,0")</f>
        <v>5.980,0</v>
      </c>
      <c r="F304" s="57" t="str">
        <f>IFERROR(__xludf.DUMMYFUNCTION("""COMPUTED_VALUE"""),"5.800,0")</f>
        <v>5.800,0</v>
      </c>
      <c r="G304" s="57">
        <f>IFERROR(__xludf.DUMMYFUNCTION("""COMPUTED_VALUE"""),-80.0)</f>
        <v>-80</v>
      </c>
      <c r="H304" s="32">
        <f>IFERROR(__xludf.DUMMYFUNCTION("""COMPUTED_VALUE"""),-0.0135)</f>
        <v>-0.0135</v>
      </c>
      <c r="I304" s="57" t="str">
        <f>IFERROR(__xludf.DUMMYFUNCTION("""COMPUTED_VALUE"""),"1,30M")</f>
        <v>1,30M</v>
      </c>
      <c r="J304" s="59">
        <f>IFERROR(__xludf.DUMMYFUNCTION("""COMPUTED_VALUE"""),44421.0)</f>
        <v>44421</v>
      </c>
      <c r="K304" s="57"/>
    </row>
    <row r="305">
      <c r="B305" s="57"/>
      <c r="C305" s="57" t="str">
        <f>IFERROR(__xludf.DUMMYFUNCTION("""COMPUTED_VALUE"""),"Takara Holdings Inc.")</f>
        <v>Takara Holdings Inc.</v>
      </c>
      <c r="D305" s="57" t="str">
        <f>IFERROR(__xludf.DUMMYFUNCTION("""COMPUTED_VALUE"""),"1.416,0")</f>
        <v>1.416,0</v>
      </c>
      <c r="E305" s="57" t="str">
        <f>IFERROR(__xludf.DUMMYFUNCTION("""COMPUTED_VALUE"""),"1.442,0")</f>
        <v>1.442,0</v>
      </c>
      <c r="F305" s="57" t="str">
        <f>IFERROR(__xludf.DUMMYFUNCTION("""COMPUTED_VALUE"""),"1.415,0")</f>
        <v>1.415,0</v>
      </c>
      <c r="G305" s="57">
        <f>IFERROR(__xludf.DUMMYFUNCTION("""COMPUTED_VALUE"""),-8.0)</f>
        <v>-8</v>
      </c>
      <c r="H305" s="32">
        <f>IFERROR(__xludf.DUMMYFUNCTION("""COMPUTED_VALUE"""),-0.0056)</f>
        <v>-0.0056</v>
      </c>
      <c r="I305" s="57" t="str">
        <f>IFERROR(__xludf.DUMMYFUNCTION("""COMPUTED_VALUE"""),"600,50K")</f>
        <v>600,50K</v>
      </c>
      <c r="J305" s="59">
        <f>IFERROR(__xludf.DUMMYFUNCTION("""COMPUTED_VALUE"""),44421.0)</f>
        <v>44421</v>
      </c>
      <c r="K305" s="57"/>
    </row>
    <row r="306">
      <c r="B306" s="57"/>
      <c r="C306" s="57" t="str">
        <f>IFERROR(__xludf.DUMMYFUNCTION("""COMPUTED_VALUE"""),"Takashimaya")</f>
        <v>Takashimaya</v>
      </c>
      <c r="D306" s="57" t="str">
        <f>IFERROR(__xludf.DUMMYFUNCTION("""COMPUTED_VALUE"""),"1.142,0")</f>
        <v>1.142,0</v>
      </c>
      <c r="E306" s="57" t="str">
        <f>IFERROR(__xludf.DUMMYFUNCTION("""COMPUTED_VALUE"""),"1.164,0")</f>
        <v>1.164,0</v>
      </c>
      <c r="F306" s="57" t="str">
        <f>IFERROR(__xludf.DUMMYFUNCTION("""COMPUTED_VALUE"""),"1.136,0")</f>
        <v>1.136,0</v>
      </c>
      <c r="G306" s="57">
        <f>IFERROR(__xludf.DUMMYFUNCTION("""COMPUTED_VALUE"""),-18.0)</f>
        <v>-18</v>
      </c>
      <c r="H306" s="32">
        <f>IFERROR(__xludf.DUMMYFUNCTION("""COMPUTED_VALUE"""),-0.0155)</f>
        <v>-0.0155</v>
      </c>
      <c r="I306" s="57" t="str">
        <f>IFERROR(__xludf.DUMMYFUNCTION("""COMPUTED_VALUE"""),"1,10M")</f>
        <v>1,10M</v>
      </c>
      <c r="J306" s="59">
        <f>IFERROR(__xludf.DUMMYFUNCTION("""COMPUTED_VALUE"""),44421.0)</f>
        <v>44421</v>
      </c>
      <c r="K306" s="57"/>
    </row>
    <row r="307">
      <c r="B307" s="57"/>
      <c r="C307" s="57" t="str">
        <f>IFERROR(__xludf.DUMMYFUNCTION("""COMPUTED_VALUE"""),"Takeda Pharmaceutical")</f>
        <v>Takeda Pharmaceutical</v>
      </c>
      <c r="D307" s="57" t="str">
        <f>IFERROR(__xludf.DUMMYFUNCTION("""COMPUTED_VALUE"""),"3.674,0")</f>
        <v>3.674,0</v>
      </c>
      <c r="E307" s="57" t="str">
        <f>IFERROR(__xludf.DUMMYFUNCTION("""COMPUTED_VALUE"""),"3.679,0")</f>
        <v>3.679,0</v>
      </c>
      <c r="F307" s="57" t="str">
        <f>IFERROR(__xludf.DUMMYFUNCTION("""COMPUTED_VALUE"""),"3.659,0")</f>
        <v>3.659,0</v>
      </c>
      <c r="G307" s="57" t="str">
        <f>IFERROR(__xludf.DUMMYFUNCTION("""COMPUTED_VALUE"""),"+28,0")</f>
        <v>+28,0</v>
      </c>
      <c r="H307" s="57" t="str">
        <f>IFERROR(__xludf.DUMMYFUNCTION("""COMPUTED_VALUE"""),"+0,77%")</f>
        <v>+0,77%</v>
      </c>
      <c r="I307" s="57" t="str">
        <f>IFERROR(__xludf.DUMMYFUNCTION("""COMPUTED_VALUE"""),"2,82M")</f>
        <v>2,82M</v>
      </c>
      <c r="J307" s="59">
        <f>IFERROR(__xludf.DUMMYFUNCTION("""COMPUTED_VALUE"""),44421.0)</f>
        <v>44421</v>
      </c>
      <c r="K307" s="57"/>
    </row>
    <row r="308">
      <c r="B308" s="57"/>
      <c r="C308" s="57" t="str">
        <f>IFERROR(__xludf.DUMMYFUNCTION("""COMPUTED_VALUE"""),"TDK")</f>
        <v>TDK</v>
      </c>
      <c r="D308" s="57" t="str">
        <f>IFERROR(__xludf.DUMMYFUNCTION("""COMPUTED_VALUE"""),"11.880,0")</f>
        <v>11.880,0</v>
      </c>
      <c r="E308" s="57" t="str">
        <f>IFERROR(__xludf.DUMMYFUNCTION("""COMPUTED_VALUE"""),"12.110,0")</f>
        <v>12.110,0</v>
      </c>
      <c r="F308" s="57" t="str">
        <f>IFERROR(__xludf.DUMMYFUNCTION("""COMPUTED_VALUE"""),"11.850,0")</f>
        <v>11.850,0</v>
      </c>
      <c r="G308" s="57">
        <f>IFERROR(__xludf.DUMMYFUNCTION("""COMPUTED_VALUE"""),-230.0)</f>
        <v>-230</v>
      </c>
      <c r="H308" s="32">
        <f>IFERROR(__xludf.DUMMYFUNCTION("""COMPUTED_VALUE"""),-0.019)</f>
        <v>-0.019</v>
      </c>
      <c r="I308" s="57" t="str">
        <f>IFERROR(__xludf.DUMMYFUNCTION("""COMPUTED_VALUE"""),"977,10K")</f>
        <v>977,10K</v>
      </c>
      <c r="J308" s="59">
        <f>IFERROR(__xludf.DUMMYFUNCTION("""COMPUTED_VALUE"""),44421.0)</f>
        <v>44421</v>
      </c>
      <c r="K308" s="57"/>
    </row>
    <row r="309">
      <c r="B309" s="57"/>
      <c r="C309" s="57" t="str">
        <f>IFERROR(__xludf.DUMMYFUNCTION("""COMPUTED_VALUE"""),"Teijin")</f>
        <v>Teijin</v>
      </c>
      <c r="D309" s="57" t="str">
        <f>IFERROR(__xludf.DUMMYFUNCTION("""COMPUTED_VALUE"""),"1.650,0")</f>
        <v>1.650,0</v>
      </c>
      <c r="E309" s="57" t="str">
        <f>IFERROR(__xludf.DUMMYFUNCTION("""COMPUTED_VALUE"""),"1.664,0")</f>
        <v>1.664,0</v>
      </c>
      <c r="F309" s="57" t="str">
        <f>IFERROR(__xludf.DUMMYFUNCTION("""COMPUTED_VALUE"""),"1.644,0")</f>
        <v>1.644,0</v>
      </c>
      <c r="G309" s="57">
        <f>IFERROR(__xludf.DUMMYFUNCTION("""COMPUTED_VALUE"""),-15.0)</f>
        <v>-15</v>
      </c>
      <c r="H309" s="32">
        <f>IFERROR(__xludf.DUMMYFUNCTION("""COMPUTED_VALUE"""),-0.009)</f>
        <v>-0.009</v>
      </c>
      <c r="I309" s="57" t="str">
        <f>IFERROR(__xludf.DUMMYFUNCTION("""COMPUTED_VALUE"""),"779,60K")</f>
        <v>779,60K</v>
      </c>
      <c r="J309" s="59">
        <f>IFERROR(__xludf.DUMMYFUNCTION("""COMPUTED_VALUE"""),44421.0)</f>
        <v>44421</v>
      </c>
      <c r="K309" s="57"/>
    </row>
    <row r="310">
      <c r="B310" s="57"/>
      <c r="C310" s="57" t="str">
        <f>IFERROR(__xludf.DUMMYFUNCTION("""COMPUTED_VALUE"""),"Terumo Corp.")</f>
        <v>Terumo Corp.</v>
      </c>
      <c r="D310" s="57" t="str">
        <f>IFERROR(__xludf.DUMMYFUNCTION("""COMPUTED_VALUE"""),"4.357,0")</f>
        <v>4.357,0</v>
      </c>
      <c r="E310" s="57" t="str">
        <f>IFERROR(__xludf.DUMMYFUNCTION("""COMPUTED_VALUE"""),"4.414,0")</f>
        <v>4.414,0</v>
      </c>
      <c r="F310" s="57" t="str">
        <f>IFERROR(__xludf.DUMMYFUNCTION("""COMPUTED_VALUE"""),"4.352,0")</f>
        <v>4.352,0</v>
      </c>
      <c r="G310" s="57" t="str">
        <f>IFERROR(__xludf.DUMMYFUNCTION("""COMPUTED_VALUE"""),"+28,0")</f>
        <v>+28,0</v>
      </c>
      <c r="H310" s="57" t="str">
        <f>IFERROR(__xludf.DUMMYFUNCTION("""COMPUTED_VALUE"""),"+0,65%")</f>
        <v>+0,65%</v>
      </c>
      <c r="I310" s="57" t="str">
        <f>IFERROR(__xludf.DUMMYFUNCTION("""COMPUTED_VALUE"""),"1,89M")</f>
        <v>1,89M</v>
      </c>
      <c r="J310" s="59">
        <f>IFERROR(__xludf.DUMMYFUNCTION("""COMPUTED_VALUE"""),44421.0)</f>
        <v>44421</v>
      </c>
      <c r="K310" s="57"/>
    </row>
    <row r="311">
      <c r="B311" s="57"/>
      <c r="C311" s="57" t="str">
        <f>IFERROR(__xludf.DUMMYFUNCTION("""COMPUTED_VALUE"""),"Tobu Railway")</f>
        <v>Tobu Railway</v>
      </c>
      <c r="D311" s="57" t="str">
        <f>IFERROR(__xludf.DUMMYFUNCTION("""COMPUTED_VALUE"""),"2.839,0")</f>
        <v>2.839,0</v>
      </c>
      <c r="E311" s="57" t="str">
        <f>IFERROR(__xludf.DUMMYFUNCTION("""COMPUTED_VALUE"""),"2.855,0")</f>
        <v>2.855,0</v>
      </c>
      <c r="F311" s="57" t="str">
        <f>IFERROR(__xludf.DUMMYFUNCTION("""COMPUTED_VALUE"""),"2.823,0")</f>
        <v>2.823,0</v>
      </c>
      <c r="G311" s="57">
        <f>IFERROR(__xludf.DUMMYFUNCTION("""COMPUTED_VALUE"""),-30.0)</f>
        <v>-30</v>
      </c>
      <c r="H311" s="32">
        <f>IFERROR(__xludf.DUMMYFUNCTION("""COMPUTED_VALUE"""),-0.0105)</f>
        <v>-0.0105</v>
      </c>
      <c r="I311" s="57" t="str">
        <f>IFERROR(__xludf.DUMMYFUNCTION("""COMPUTED_VALUE"""),"505,10K")</f>
        <v>505,10K</v>
      </c>
      <c r="J311" s="59">
        <f>IFERROR(__xludf.DUMMYFUNCTION("""COMPUTED_VALUE"""),44421.0)</f>
        <v>44421</v>
      </c>
      <c r="K311" s="57"/>
    </row>
    <row r="312">
      <c r="B312" s="57"/>
      <c r="C312" s="57" t="str">
        <f>IFERROR(__xludf.DUMMYFUNCTION("""COMPUTED_VALUE"""),"Toho")</f>
        <v>Toho</v>
      </c>
      <c r="D312" s="57" t="str">
        <f>IFERROR(__xludf.DUMMYFUNCTION("""COMPUTED_VALUE"""),"4.710,0")</f>
        <v>4.710,0</v>
      </c>
      <c r="E312" s="57" t="str">
        <f>IFERROR(__xludf.DUMMYFUNCTION("""COMPUTED_VALUE"""),"4.740,0")</f>
        <v>4.740,0</v>
      </c>
      <c r="F312" s="57" t="str">
        <f>IFERROR(__xludf.DUMMYFUNCTION("""COMPUTED_VALUE"""),"4.685,0")</f>
        <v>4.685,0</v>
      </c>
      <c r="G312" s="57">
        <f>IFERROR(__xludf.DUMMYFUNCTION("""COMPUTED_VALUE"""),-30.0)</f>
        <v>-30</v>
      </c>
      <c r="H312" s="32">
        <f>IFERROR(__xludf.DUMMYFUNCTION("""COMPUTED_VALUE"""),-0.0063)</f>
        <v>-0.0063</v>
      </c>
      <c r="I312" s="57" t="str">
        <f>IFERROR(__xludf.DUMMYFUNCTION("""COMPUTED_VALUE"""),"186,80K")</f>
        <v>186,80K</v>
      </c>
      <c r="J312" s="59">
        <f>IFERROR(__xludf.DUMMYFUNCTION("""COMPUTED_VALUE"""),44421.0)</f>
        <v>44421</v>
      </c>
      <c r="K312" s="57"/>
    </row>
    <row r="313">
      <c r="B313" s="57"/>
      <c r="C313" s="57" t="str">
        <f>IFERROR(__xludf.DUMMYFUNCTION("""COMPUTED_VALUE"""),"Toho Zinc")</f>
        <v>Toho Zinc</v>
      </c>
      <c r="D313" s="57" t="str">
        <f>IFERROR(__xludf.DUMMYFUNCTION("""COMPUTED_VALUE"""),"2.097,0")</f>
        <v>2.097,0</v>
      </c>
      <c r="E313" s="57" t="str">
        <f>IFERROR(__xludf.DUMMYFUNCTION("""COMPUTED_VALUE"""),"2.125,0")</f>
        <v>2.125,0</v>
      </c>
      <c r="F313" s="57" t="str">
        <f>IFERROR(__xludf.DUMMYFUNCTION("""COMPUTED_VALUE"""),"2.061,0")</f>
        <v>2.061,0</v>
      </c>
      <c r="G313" s="57">
        <f>IFERROR(__xludf.DUMMYFUNCTION("""COMPUTED_VALUE"""),-4.0)</f>
        <v>-4</v>
      </c>
      <c r="H313" s="32">
        <f>IFERROR(__xludf.DUMMYFUNCTION("""COMPUTED_VALUE"""),-0.0019)</f>
        <v>-0.0019</v>
      </c>
      <c r="I313" s="57" t="str">
        <f>IFERROR(__xludf.DUMMYFUNCTION("""COMPUTED_VALUE"""),"517,30K")</f>
        <v>517,30K</v>
      </c>
      <c r="J313" s="59">
        <f>IFERROR(__xludf.DUMMYFUNCTION("""COMPUTED_VALUE"""),44421.0)</f>
        <v>44421</v>
      </c>
      <c r="K313" s="57"/>
    </row>
    <row r="314">
      <c r="B314" s="57"/>
      <c r="C314" s="57" t="str">
        <f>IFERROR(__xludf.DUMMYFUNCTION("""COMPUTED_VALUE"""),"Tokai Carbon")</f>
        <v>Tokai Carbon</v>
      </c>
      <c r="D314" s="57" t="str">
        <f>IFERROR(__xludf.DUMMYFUNCTION("""COMPUTED_VALUE"""),"1.633,0")</f>
        <v>1.633,0</v>
      </c>
      <c r="E314" s="57" t="str">
        <f>IFERROR(__xludf.DUMMYFUNCTION("""COMPUTED_VALUE"""),"1.669,0")</f>
        <v>1.669,0</v>
      </c>
      <c r="F314" s="57" t="str">
        <f>IFERROR(__xludf.DUMMYFUNCTION("""COMPUTED_VALUE"""),"1.615,0")</f>
        <v>1.615,0</v>
      </c>
      <c r="G314" s="57">
        <f>IFERROR(__xludf.DUMMYFUNCTION("""COMPUTED_VALUE"""),-22.0)</f>
        <v>-22</v>
      </c>
      <c r="H314" s="32">
        <f>IFERROR(__xludf.DUMMYFUNCTION("""COMPUTED_VALUE"""),-0.0133)</f>
        <v>-0.0133</v>
      </c>
      <c r="I314" s="57" t="str">
        <f>IFERROR(__xludf.DUMMYFUNCTION("""COMPUTED_VALUE"""),"2,64M")</f>
        <v>2,64M</v>
      </c>
      <c r="J314" s="59">
        <f>IFERROR(__xludf.DUMMYFUNCTION("""COMPUTED_VALUE"""),44421.0)</f>
        <v>44421</v>
      </c>
      <c r="K314" s="57"/>
    </row>
    <row r="315">
      <c r="B315" s="57"/>
      <c r="C315" s="57" t="str">
        <f>IFERROR(__xludf.DUMMYFUNCTION("""COMPUTED_VALUE"""),"Tokio Marine Holdings, Inc.")</f>
        <v>Tokio Marine Holdings, Inc.</v>
      </c>
      <c r="D315" s="57" t="str">
        <f>IFERROR(__xludf.DUMMYFUNCTION("""COMPUTED_VALUE"""),"5.422,0")</f>
        <v>5.422,0</v>
      </c>
      <c r="E315" s="57" t="str">
        <f>IFERROR(__xludf.DUMMYFUNCTION("""COMPUTED_VALUE"""),"5.509,0")</f>
        <v>5.509,0</v>
      </c>
      <c r="F315" s="57" t="str">
        <f>IFERROR(__xludf.DUMMYFUNCTION("""COMPUTED_VALUE"""),"5.416,0")</f>
        <v>5.416,0</v>
      </c>
      <c r="G315" s="57">
        <f>IFERROR(__xludf.DUMMYFUNCTION("""COMPUTED_VALUE"""),-66.0)</f>
        <v>-66</v>
      </c>
      <c r="H315" s="32">
        <f>IFERROR(__xludf.DUMMYFUNCTION("""COMPUTED_VALUE"""),-0.012)</f>
        <v>-0.012</v>
      </c>
      <c r="I315" s="57" t="str">
        <f>IFERROR(__xludf.DUMMYFUNCTION("""COMPUTED_VALUE"""),"1,86M")</f>
        <v>1,86M</v>
      </c>
      <c r="J315" s="59">
        <f>IFERROR(__xludf.DUMMYFUNCTION("""COMPUTED_VALUE"""),44421.0)</f>
        <v>44421</v>
      </c>
      <c r="K315" s="57"/>
    </row>
    <row r="316">
      <c r="B316" s="57"/>
      <c r="C316" s="57" t="str">
        <f>IFERROR(__xludf.DUMMYFUNCTION("""COMPUTED_VALUE"""),"Tokuyama Corp.")</f>
        <v>Tokuyama Corp.</v>
      </c>
      <c r="D316" s="57" t="str">
        <f>IFERROR(__xludf.DUMMYFUNCTION("""COMPUTED_VALUE"""),"2.385,0")</f>
        <v>2.385,0</v>
      </c>
      <c r="E316" s="57" t="str">
        <f>IFERROR(__xludf.DUMMYFUNCTION("""COMPUTED_VALUE"""),"2.428,0")</f>
        <v>2.428,0</v>
      </c>
      <c r="F316" s="57" t="str">
        <f>IFERROR(__xludf.DUMMYFUNCTION("""COMPUTED_VALUE"""),"2.373,0")</f>
        <v>2.373,0</v>
      </c>
      <c r="G316" s="57">
        <f>IFERROR(__xludf.DUMMYFUNCTION("""COMPUTED_VALUE"""),-18.0)</f>
        <v>-18</v>
      </c>
      <c r="H316" s="32">
        <f>IFERROR(__xludf.DUMMYFUNCTION("""COMPUTED_VALUE"""),-0.0075)</f>
        <v>-0.0075</v>
      </c>
      <c r="I316" s="57" t="str">
        <f>IFERROR(__xludf.DUMMYFUNCTION("""COMPUTED_VALUE"""),"513,10K")</f>
        <v>513,10K</v>
      </c>
      <c r="J316" s="59">
        <f>IFERROR(__xludf.DUMMYFUNCTION("""COMPUTED_VALUE"""),44421.0)</f>
        <v>44421</v>
      </c>
      <c r="K316" s="57"/>
    </row>
    <row r="317">
      <c r="B317" s="57"/>
      <c r="C317" s="57" t="str">
        <f>IFERROR(__xludf.DUMMYFUNCTION("""COMPUTED_VALUE"""),"Tokyo Electric Power Co., Inc.")</f>
        <v>Tokyo Electric Power Co., Inc.</v>
      </c>
      <c r="D317" s="57">
        <f>IFERROR(__xludf.DUMMYFUNCTION("""COMPUTED_VALUE"""),290.0)</f>
        <v>290</v>
      </c>
      <c r="E317" s="57">
        <f>IFERROR(__xludf.DUMMYFUNCTION("""COMPUTED_VALUE"""),294.0)</f>
        <v>294</v>
      </c>
      <c r="F317" s="57">
        <f>IFERROR(__xludf.DUMMYFUNCTION("""COMPUTED_VALUE"""),290.0)</f>
        <v>290</v>
      </c>
      <c r="G317" s="57">
        <f>IFERROR(__xludf.DUMMYFUNCTION("""COMPUTED_VALUE"""),-2.0)</f>
        <v>-2</v>
      </c>
      <c r="H317" s="32">
        <f>IFERROR(__xludf.DUMMYFUNCTION("""COMPUTED_VALUE"""),-0.0068)</f>
        <v>-0.0068</v>
      </c>
      <c r="I317" s="57" t="str">
        <f>IFERROR(__xludf.DUMMYFUNCTION("""COMPUTED_VALUE"""),"8,91M")</f>
        <v>8,91M</v>
      </c>
      <c r="J317" s="59">
        <f>IFERROR(__xludf.DUMMYFUNCTION("""COMPUTED_VALUE"""),44421.0)</f>
        <v>44421</v>
      </c>
      <c r="K317" s="57"/>
    </row>
    <row r="318">
      <c r="B318" s="57"/>
      <c r="C318" s="57" t="str">
        <f>IFERROR(__xludf.DUMMYFUNCTION("""COMPUTED_VALUE"""),"Tokyo Electron")</f>
        <v>Tokyo Electron</v>
      </c>
      <c r="D318" s="57" t="str">
        <f>IFERROR(__xludf.DUMMYFUNCTION("""COMPUTED_VALUE"""),"44.500,0")</f>
        <v>44.500,0</v>
      </c>
      <c r="E318" s="57" t="str">
        <f>IFERROR(__xludf.DUMMYFUNCTION("""COMPUTED_VALUE"""),"44.900,0")</f>
        <v>44.900,0</v>
      </c>
      <c r="F318" s="57" t="str">
        <f>IFERROR(__xludf.DUMMYFUNCTION("""COMPUTED_VALUE"""),"44.250,0")</f>
        <v>44.250,0</v>
      </c>
      <c r="G318" s="57">
        <f>IFERROR(__xludf.DUMMYFUNCTION("""COMPUTED_VALUE"""),-840.0)</f>
        <v>-840</v>
      </c>
      <c r="H318" s="32">
        <f>IFERROR(__xludf.DUMMYFUNCTION("""COMPUTED_VALUE"""),-0.0185)</f>
        <v>-0.0185</v>
      </c>
      <c r="I318" s="57" t="str">
        <f>IFERROR(__xludf.DUMMYFUNCTION("""COMPUTED_VALUE"""),"1,09M")</f>
        <v>1,09M</v>
      </c>
      <c r="J318" s="59">
        <f>IFERROR(__xludf.DUMMYFUNCTION("""COMPUTED_VALUE"""),44421.0)</f>
        <v>44421</v>
      </c>
      <c r="K318" s="57"/>
    </row>
    <row r="319">
      <c r="B319" s="57"/>
      <c r="C319" s="57" t="str">
        <f>IFERROR(__xludf.DUMMYFUNCTION("""COMPUTED_VALUE"""),"Tokyo Gas")</f>
        <v>Tokyo Gas</v>
      </c>
      <c r="D319" s="57" t="str">
        <f>IFERROR(__xludf.DUMMYFUNCTION("""COMPUTED_VALUE"""),"2.169,5")</f>
        <v>2.169,5</v>
      </c>
      <c r="E319" s="57" t="str">
        <f>IFERROR(__xludf.DUMMYFUNCTION("""COMPUTED_VALUE"""),"2.188,5")</f>
        <v>2.188,5</v>
      </c>
      <c r="F319" s="57" t="str">
        <f>IFERROR(__xludf.DUMMYFUNCTION("""COMPUTED_VALUE"""),"2.163,5")</f>
        <v>2.163,5</v>
      </c>
      <c r="G319" s="57">
        <f>IFERROR(__xludf.DUMMYFUNCTION("""COMPUTED_VALUE"""),-10.5)</f>
        <v>-10.5</v>
      </c>
      <c r="H319" s="32">
        <f>IFERROR(__xludf.DUMMYFUNCTION("""COMPUTED_VALUE"""),-0.0048)</f>
        <v>-0.0048</v>
      </c>
      <c r="I319" s="57" t="str">
        <f>IFERROR(__xludf.DUMMYFUNCTION("""COMPUTED_VALUE"""),"565,60K")</f>
        <v>565,60K</v>
      </c>
      <c r="J319" s="59">
        <f>IFERROR(__xludf.DUMMYFUNCTION("""COMPUTED_VALUE"""),44421.0)</f>
        <v>44421</v>
      </c>
      <c r="K319" s="57"/>
    </row>
    <row r="320">
      <c r="B320" s="57"/>
      <c r="C320" s="57" t="str">
        <f>IFERROR(__xludf.DUMMYFUNCTION("""COMPUTED_VALUE"""),"Tokyo Tatemono")</f>
        <v>Tokyo Tatemono</v>
      </c>
      <c r="D320" s="57" t="str">
        <f>IFERROR(__xludf.DUMMYFUNCTION("""COMPUTED_VALUE"""),"1.694,0")</f>
        <v>1.694,0</v>
      </c>
      <c r="E320" s="57" t="str">
        <f>IFERROR(__xludf.DUMMYFUNCTION("""COMPUTED_VALUE"""),"1.739,0")</f>
        <v>1.739,0</v>
      </c>
      <c r="F320" s="57" t="str">
        <f>IFERROR(__xludf.DUMMYFUNCTION("""COMPUTED_VALUE"""),"1.691,0")</f>
        <v>1.691,0</v>
      </c>
      <c r="G320" s="57">
        <f>IFERROR(__xludf.DUMMYFUNCTION("""COMPUTED_VALUE"""),-34.0)</f>
        <v>-34</v>
      </c>
      <c r="H320" s="32">
        <f>IFERROR(__xludf.DUMMYFUNCTION("""COMPUTED_VALUE"""),-0.0197)</f>
        <v>-0.0197</v>
      </c>
      <c r="I320" s="57" t="str">
        <f>IFERROR(__xludf.DUMMYFUNCTION("""COMPUTED_VALUE"""),"549,10K")</f>
        <v>549,10K</v>
      </c>
      <c r="J320" s="59">
        <f>IFERROR(__xludf.DUMMYFUNCTION("""COMPUTED_VALUE"""),44421.0)</f>
        <v>44421</v>
      </c>
      <c r="K320" s="57"/>
    </row>
    <row r="321">
      <c r="B321" s="57"/>
      <c r="C321" s="57" t="str">
        <f>IFERROR(__xludf.DUMMYFUNCTION("""COMPUTED_VALUE"""),"Tokyu Corp.")</f>
        <v>Tokyu Corp.</v>
      </c>
      <c r="D321" s="57" t="str">
        <f>IFERROR(__xludf.DUMMYFUNCTION("""COMPUTED_VALUE"""),"1.490,0")</f>
        <v>1.490,0</v>
      </c>
      <c r="E321" s="57" t="str">
        <f>IFERROR(__xludf.DUMMYFUNCTION("""COMPUTED_VALUE"""),"1.518,0")</f>
        <v>1.518,0</v>
      </c>
      <c r="F321" s="57" t="str">
        <f>IFERROR(__xludf.DUMMYFUNCTION("""COMPUTED_VALUE"""),"1.487,0")</f>
        <v>1.487,0</v>
      </c>
      <c r="G321" s="57">
        <f>IFERROR(__xludf.DUMMYFUNCTION("""COMPUTED_VALUE"""),-30.0)</f>
        <v>-30</v>
      </c>
      <c r="H321" s="32">
        <f>IFERROR(__xludf.DUMMYFUNCTION("""COMPUTED_VALUE"""),-0.0197)</f>
        <v>-0.0197</v>
      </c>
      <c r="I321" s="57" t="str">
        <f>IFERROR(__xludf.DUMMYFUNCTION("""COMPUTED_VALUE"""),"1,22M")</f>
        <v>1,22M</v>
      </c>
      <c r="J321" s="59">
        <f>IFERROR(__xludf.DUMMYFUNCTION("""COMPUTED_VALUE"""),44421.0)</f>
        <v>44421</v>
      </c>
      <c r="K321" s="57"/>
    </row>
    <row r="322">
      <c r="B322" s="57"/>
      <c r="C322" s="57" t="str">
        <f>IFERROR(__xludf.DUMMYFUNCTION("""COMPUTED_VALUE"""),"Tokyu Fudosan")</f>
        <v>Tokyu Fudosan</v>
      </c>
      <c r="D322" s="57">
        <f>IFERROR(__xludf.DUMMYFUNCTION("""COMPUTED_VALUE"""),627.0)</f>
        <v>627</v>
      </c>
      <c r="E322" s="57">
        <f>IFERROR(__xludf.DUMMYFUNCTION("""COMPUTED_VALUE"""),647.0)</f>
        <v>647</v>
      </c>
      <c r="F322" s="57">
        <f>IFERROR(__xludf.DUMMYFUNCTION("""COMPUTED_VALUE"""),625.0)</f>
        <v>625</v>
      </c>
      <c r="G322" s="57">
        <f>IFERROR(__xludf.DUMMYFUNCTION("""COMPUTED_VALUE"""),-14.0)</f>
        <v>-14</v>
      </c>
      <c r="H322" s="32">
        <f>IFERROR(__xludf.DUMMYFUNCTION("""COMPUTED_VALUE"""),-0.0218)</f>
        <v>-0.0218</v>
      </c>
      <c r="I322" s="57" t="str">
        <f>IFERROR(__xludf.DUMMYFUNCTION("""COMPUTED_VALUE"""),"2,48M")</f>
        <v>2,48M</v>
      </c>
      <c r="J322" s="59">
        <f>IFERROR(__xludf.DUMMYFUNCTION("""COMPUTED_VALUE"""),44421.0)</f>
        <v>44421</v>
      </c>
      <c r="K322" s="57"/>
    </row>
    <row r="323">
      <c r="B323" s="57"/>
      <c r="C323" s="57" t="str">
        <f>IFERROR(__xludf.DUMMYFUNCTION("""COMPUTED_VALUE"""),"Toppan Printing")</f>
        <v>Toppan Printing</v>
      </c>
      <c r="D323" s="57" t="str">
        <f>IFERROR(__xludf.DUMMYFUNCTION("""COMPUTED_VALUE"""),"1.892,0")</f>
        <v>1.892,0</v>
      </c>
      <c r="E323" s="57" t="str">
        <f>IFERROR(__xludf.DUMMYFUNCTION("""COMPUTED_VALUE"""),"1.916,0")</f>
        <v>1.916,0</v>
      </c>
      <c r="F323" s="57" t="str">
        <f>IFERROR(__xludf.DUMMYFUNCTION("""COMPUTED_VALUE"""),"1.888,0")</f>
        <v>1.888,0</v>
      </c>
      <c r="G323" s="57" t="str">
        <f>IFERROR(__xludf.DUMMYFUNCTION("""COMPUTED_VALUE"""),"+2,0")</f>
        <v>+2,0</v>
      </c>
      <c r="H323" s="57" t="str">
        <f>IFERROR(__xludf.DUMMYFUNCTION("""COMPUTED_VALUE"""),"+0,11%")</f>
        <v>+0,11%</v>
      </c>
      <c r="I323" s="57" t="str">
        <f>IFERROR(__xludf.DUMMYFUNCTION("""COMPUTED_VALUE"""),"574,30K")</f>
        <v>574,30K</v>
      </c>
      <c r="J323" s="59">
        <f>IFERROR(__xludf.DUMMYFUNCTION("""COMPUTED_VALUE"""),44421.0)</f>
        <v>44421</v>
      </c>
      <c r="K323" s="57"/>
    </row>
    <row r="324">
      <c r="B324" s="57"/>
      <c r="C324" s="57" t="str">
        <f>IFERROR(__xludf.DUMMYFUNCTION("""COMPUTED_VALUE"""),"Toray Industries, Inc.")</f>
        <v>Toray Industries, Inc.</v>
      </c>
      <c r="D324" s="57">
        <f>IFERROR(__xludf.DUMMYFUNCTION("""COMPUTED_VALUE"""),739.1)</f>
        <v>739.1</v>
      </c>
      <c r="E324" s="57">
        <f>IFERROR(__xludf.DUMMYFUNCTION("""COMPUTED_VALUE"""),746.4)</f>
        <v>746.4</v>
      </c>
      <c r="F324" s="57">
        <f>IFERROR(__xludf.DUMMYFUNCTION("""COMPUTED_VALUE"""),737.2)</f>
        <v>737.2</v>
      </c>
      <c r="G324" s="57">
        <f>IFERROR(__xludf.DUMMYFUNCTION("""COMPUTED_VALUE"""),-2.6)</f>
        <v>-2.6</v>
      </c>
      <c r="H324" s="32">
        <f>IFERROR(__xludf.DUMMYFUNCTION("""COMPUTED_VALUE"""),-0.0035)</f>
        <v>-0.0035</v>
      </c>
      <c r="I324" s="57" t="str">
        <f>IFERROR(__xludf.DUMMYFUNCTION("""COMPUTED_VALUE"""),"3,13M")</f>
        <v>3,13M</v>
      </c>
      <c r="J324" s="59">
        <f>IFERROR(__xludf.DUMMYFUNCTION("""COMPUTED_VALUE"""),44421.0)</f>
        <v>44421</v>
      </c>
      <c r="K324" s="57"/>
    </row>
    <row r="325">
      <c r="B325" s="57"/>
      <c r="C325" s="57" t="str">
        <f>IFERROR(__xludf.DUMMYFUNCTION("""COMPUTED_VALUE"""),"Tosoh Corp.")</f>
        <v>Tosoh Corp.</v>
      </c>
      <c r="D325" s="57" t="str">
        <f>IFERROR(__xludf.DUMMYFUNCTION("""COMPUTED_VALUE"""),"1.963,0")</f>
        <v>1.963,0</v>
      </c>
      <c r="E325" s="57" t="str">
        <f>IFERROR(__xludf.DUMMYFUNCTION("""COMPUTED_VALUE"""),"1.977,0")</f>
        <v>1.977,0</v>
      </c>
      <c r="F325" s="57" t="str">
        <f>IFERROR(__xludf.DUMMYFUNCTION("""COMPUTED_VALUE"""),"1.956,0")</f>
        <v>1.956,0</v>
      </c>
      <c r="G325" s="57">
        <f>IFERROR(__xludf.DUMMYFUNCTION("""COMPUTED_VALUE"""),-14.0)</f>
        <v>-14</v>
      </c>
      <c r="H325" s="32">
        <f>IFERROR(__xludf.DUMMYFUNCTION("""COMPUTED_VALUE"""),-0.0071)</f>
        <v>-0.0071</v>
      </c>
      <c r="I325" s="57" t="str">
        <f>IFERROR(__xludf.DUMMYFUNCTION("""COMPUTED_VALUE"""),"688,40K")</f>
        <v>688,40K</v>
      </c>
      <c r="J325" s="59">
        <f>IFERROR(__xludf.DUMMYFUNCTION("""COMPUTED_VALUE"""),44421.0)</f>
        <v>44421</v>
      </c>
      <c r="K325" s="57"/>
    </row>
    <row r="326">
      <c r="B326" s="57"/>
      <c r="C326" s="57" t="str">
        <f>IFERROR(__xludf.DUMMYFUNCTION("""COMPUTED_VALUE"""),"TOTO")</f>
        <v>TOTO</v>
      </c>
      <c r="D326" s="57" t="str">
        <f>IFERROR(__xludf.DUMMYFUNCTION("""COMPUTED_VALUE"""),"5.950,0")</f>
        <v>5.950,0</v>
      </c>
      <c r="E326" s="57" t="str">
        <f>IFERROR(__xludf.DUMMYFUNCTION("""COMPUTED_VALUE"""),"6.030,0")</f>
        <v>6.030,0</v>
      </c>
      <c r="F326" s="57" t="str">
        <f>IFERROR(__xludf.DUMMYFUNCTION("""COMPUTED_VALUE"""),"5.950,0")</f>
        <v>5.950,0</v>
      </c>
      <c r="G326" s="57">
        <f>IFERROR(__xludf.DUMMYFUNCTION("""COMPUTED_VALUE"""),-50.0)</f>
        <v>-50</v>
      </c>
      <c r="H326" s="32">
        <f>IFERROR(__xludf.DUMMYFUNCTION("""COMPUTED_VALUE"""),-0.0083)</f>
        <v>-0.0083</v>
      </c>
      <c r="I326" s="57" t="str">
        <f>IFERROR(__xludf.DUMMYFUNCTION("""COMPUTED_VALUE"""),"281,90K")</f>
        <v>281,90K</v>
      </c>
      <c r="J326" s="59">
        <f>IFERROR(__xludf.DUMMYFUNCTION("""COMPUTED_VALUE"""),44421.0)</f>
        <v>44421</v>
      </c>
      <c r="K326" s="57"/>
    </row>
    <row r="327">
      <c r="B327" s="57"/>
      <c r="C327" s="57" t="str">
        <f>IFERROR(__xludf.DUMMYFUNCTION("""COMPUTED_VALUE"""),"Toyo Seikan Group Holdings")</f>
        <v>Toyo Seikan Group Holdings</v>
      </c>
      <c r="D327" s="57" t="str">
        <f>IFERROR(__xludf.DUMMYFUNCTION("""COMPUTED_VALUE"""),"1.547,0")</f>
        <v>1.547,0</v>
      </c>
      <c r="E327" s="57" t="str">
        <f>IFERROR(__xludf.DUMMYFUNCTION("""COMPUTED_VALUE"""),"1.555,0")</f>
        <v>1.555,0</v>
      </c>
      <c r="F327" s="57" t="str">
        <f>IFERROR(__xludf.DUMMYFUNCTION("""COMPUTED_VALUE"""),"1.539,0")</f>
        <v>1.539,0</v>
      </c>
      <c r="G327" s="57" t="str">
        <f>IFERROR(__xludf.DUMMYFUNCTION("""COMPUTED_VALUE"""),"+8,0")</f>
        <v>+8,0</v>
      </c>
      <c r="H327" s="57" t="str">
        <f>IFERROR(__xludf.DUMMYFUNCTION("""COMPUTED_VALUE"""),"+0,52%")</f>
        <v>+0,52%</v>
      </c>
      <c r="I327" s="57" t="str">
        <f>IFERROR(__xludf.DUMMYFUNCTION("""COMPUTED_VALUE"""),"434,10K")</f>
        <v>434,10K</v>
      </c>
      <c r="J327" s="59">
        <f>IFERROR(__xludf.DUMMYFUNCTION("""COMPUTED_VALUE"""),44421.0)</f>
        <v>44421</v>
      </c>
      <c r="K327" s="57"/>
    </row>
    <row r="328">
      <c r="B328" s="57"/>
      <c r="C328" s="57" t="str">
        <f>IFERROR(__xludf.DUMMYFUNCTION("""COMPUTED_VALUE"""),"Toyobo")</f>
        <v>Toyobo</v>
      </c>
      <c r="D328" s="57" t="str">
        <f>IFERROR(__xludf.DUMMYFUNCTION("""COMPUTED_VALUE"""),"1.410,0")</f>
        <v>1.410,0</v>
      </c>
      <c r="E328" s="57" t="str">
        <f>IFERROR(__xludf.DUMMYFUNCTION("""COMPUTED_VALUE"""),"1.424,0")</f>
        <v>1.424,0</v>
      </c>
      <c r="F328" s="57" t="str">
        <f>IFERROR(__xludf.DUMMYFUNCTION("""COMPUTED_VALUE"""),"1.407,0")</f>
        <v>1.407,0</v>
      </c>
      <c r="G328" s="57">
        <f>IFERROR(__xludf.DUMMYFUNCTION("""COMPUTED_VALUE"""),-1.0)</f>
        <v>-1</v>
      </c>
      <c r="H328" s="32">
        <f>IFERROR(__xludf.DUMMYFUNCTION("""COMPUTED_VALUE"""),-7.0E-4)</f>
        <v>-0.0007</v>
      </c>
      <c r="I328" s="57" t="str">
        <f>IFERROR(__xludf.DUMMYFUNCTION("""COMPUTED_VALUE"""),"263,00K")</f>
        <v>263,00K</v>
      </c>
      <c r="J328" s="59">
        <f>IFERROR(__xludf.DUMMYFUNCTION("""COMPUTED_VALUE"""),44421.0)</f>
        <v>44421</v>
      </c>
      <c r="K328" s="57"/>
    </row>
    <row r="329">
      <c r="B329" s="57"/>
      <c r="C329" s="57" t="str">
        <f>IFERROR(__xludf.DUMMYFUNCTION("""COMPUTED_VALUE"""),"Toyota Motor")</f>
        <v>Toyota Motor</v>
      </c>
      <c r="D329" s="57" t="str">
        <f>IFERROR(__xludf.DUMMYFUNCTION("""COMPUTED_VALUE"""),"9.965,0")</f>
        <v>9.965,0</v>
      </c>
      <c r="E329" s="57" t="str">
        <f>IFERROR(__xludf.DUMMYFUNCTION("""COMPUTED_VALUE"""),"10.015,0")</f>
        <v>10.015,0</v>
      </c>
      <c r="F329" s="57" t="str">
        <f>IFERROR(__xludf.DUMMYFUNCTION("""COMPUTED_VALUE"""),"9.955,0")</f>
        <v>9.955,0</v>
      </c>
      <c r="G329" s="57" t="str">
        <f>IFERROR(__xludf.DUMMYFUNCTION("""COMPUTED_VALUE"""),"+5,0")</f>
        <v>+5,0</v>
      </c>
      <c r="H329" s="57" t="str">
        <f>IFERROR(__xludf.DUMMYFUNCTION("""COMPUTED_VALUE"""),"+0,05%")</f>
        <v>+0,05%</v>
      </c>
      <c r="I329" s="57" t="str">
        <f>IFERROR(__xludf.DUMMYFUNCTION("""COMPUTED_VALUE"""),"3,37M")</f>
        <v>3,37M</v>
      </c>
      <c r="J329" s="59">
        <f>IFERROR(__xludf.DUMMYFUNCTION("""COMPUTED_VALUE"""),44421.0)</f>
        <v>44421</v>
      </c>
      <c r="K329" s="57"/>
    </row>
    <row r="330">
      <c r="B330" s="57"/>
      <c r="C330" s="57" t="str">
        <f>IFERROR(__xludf.DUMMYFUNCTION("""COMPUTED_VALUE"""),"Toyota Tsusho Corp.")</f>
        <v>Toyota Tsusho Corp.</v>
      </c>
      <c r="D330" s="57" t="str">
        <f>IFERROR(__xludf.DUMMYFUNCTION("""COMPUTED_VALUE"""),"5.470,0")</f>
        <v>5.470,0</v>
      </c>
      <c r="E330" s="57" t="str">
        <f>IFERROR(__xludf.DUMMYFUNCTION("""COMPUTED_VALUE"""),"5.500,0")</f>
        <v>5.500,0</v>
      </c>
      <c r="F330" s="57" t="str">
        <f>IFERROR(__xludf.DUMMYFUNCTION("""COMPUTED_VALUE"""),"5.410,0")</f>
        <v>5.410,0</v>
      </c>
      <c r="G330" s="57" t="str">
        <f>IFERROR(__xludf.DUMMYFUNCTION("""COMPUTED_VALUE"""),"+20,0")</f>
        <v>+20,0</v>
      </c>
      <c r="H330" s="57" t="str">
        <f>IFERROR(__xludf.DUMMYFUNCTION("""COMPUTED_VALUE"""),"+0,37%")</f>
        <v>+0,37%</v>
      </c>
      <c r="I330" s="57" t="str">
        <f>IFERROR(__xludf.DUMMYFUNCTION("""COMPUTED_VALUE"""),"569,10K")</f>
        <v>569,10K</v>
      </c>
      <c r="J330" s="59">
        <f>IFERROR(__xludf.DUMMYFUNCTION("""COMPUTED_VALUE"""),44421.0)</f>
        <v>44421</v>
      </c>
      <c r="K330" s="57"/>
    </row>
    <row r="331">
      <c r="B331" s="57"/>
      <c r="C331" s="57" t="str">
        <f>IFERROR(__xludf.DUMMYFUNCTION("""COMPUTED_VALUE"""),"Trend Micro Inc.")</f>
        <v>Trend Micro Inc.</v>
      </c>
      <c r="D331" s="57" t="str">
        <f>IFERROR(__xludf.DUMMYFUNCTION("""COMPUTED_VALUE"""),"5.750,0")</f>
        <v>5.750,0</v>
      </c>
      <c r="E331" s="57" t="str">
        <f>IFERROR(__xludf.DUMMYFUNCTION("""COMPUTED_VALUE"""),"5.910,0")</f>
        <v>5.910,0</v>
      </c>
      <c r="F331" s="57" t="str">
        <f>IFERROR(__xludf.DUMMYFUNCTION("""COMPUTED_VALUE"""),"5.700,0")</f>
        <v>5.700,0</v>
      </c>
      <c r="G331" s="57" t="str">
        <f>IFERROR(__xludf.DUMMYFUNCTION("""COMPUTED_VALUE"""),"+100,0")</f>
        <v>+100,0</v>
      </c>
      <c r="H331" s="57" t="str">
        <f>IFERROR(__xludf.DUMMYFUNCTION("""COMPUTED_VALUE"""),"+1,77%")</f>
        <v>+1,77%</v>
      </c>
      <c r="I331" s="57" t="str">
        <f>IFERROR(__xludf.DUMMYFUNCTION("""COMPUTED_VALUE"""),"1,33M")</f>
        <v>1,33M</v>
      </c>
      <c r="J331" s="59">
        <f>IFERROR(__xludf.DUMMYFUNCTION("""COMPUTED_VALUE"""),44421.0)</f>
        <v>44421</v>
      </c>
      <c r="K331" s="57"/>
    </row>
    <row r="332">
      <c r="B332" s="57"/>
      <c r="C332" s="57" t="str">
        <f>IFERROR(__xludf.DUMMYFUNCTION("""COMPUTED_VALUE"""),"Ube Industries")</f>
        <v>Ube Industries</v>
      </c>
      <c r="D332" s="57" t="str">
        <f>IFERROR(__xludf.DUMMYFUNCTION("""COMPUTED_VALUE"""),"2.275,0")</f>
        <v>2.275,0</v>
      </c>
      <c r="E332" s="57" t="str">
        <f>IFERROR(__xludf.DUMMYFUNCTION("""COMPUTED_VALUE"""),"2.301,0")</f>
        <v>2.301,0</v>
      </c>
      <c r="F332" s="57" t="str">
        <f>IFERROR(__xludf.DUMMYFUNCTION("""COMPUTED_VALUE"""),"2.268,0")</f>
        <v>2.268,0</v>
      </c>
      <c r="G332" s="57">
        <f>IFERROR(__xludf.DUMMYFUNCTION("""COMPUTED_VALUE"""),-30.0)</f>
        <v>-30</v>
      </c>
      <c r="H332" s="32">
        <f>IFERROR(__xludf.DUMMYFUNCTION("""COMPUTED_VALUE"""),-0.013)</f>
        <v>-0.013</v>
      </c>
      <c r="I332" s="57" t="str">
        <f>IFERROR(__xludf.DUMMYFUNCTION("""COMPUTED_VALUE"""),"302,60K")</f>
        <v>302,60K</v>
      </c>
      <c r="J332" s="59">
        <f>IFERROR(__xludf.DUMMYFUNCTION("""COMPUTED_VALUE"""),44421.0)</f>
        <v>44421</v>
      </c>
      <c r="K332" s="57"/>
    </row>
    <row r="333">
      <c r="B333" s="57"/>
      <c r="C333" s="57" t="str">
        <f>IFERROR(__xludf.DUMMYFUNCTION("""COMPUTED_VALUE"""),"Unitika")</f>
        <v>Unitika</v>
      </c>
      <c r="D333" s="57">
        <f>IFERROR(__xludf.DUMMYFUNCTION("""COMPUTED_VALUE"""),352.0)</f>
        <v>352</v>
      </c>
      <c r="E333" s="57">
        <f>IFERROR(__xludf.DUMMYFUNCTION("""COMPUTED_VALUE"""),356.0)</f>
        <v>356</v>
      </c>
      <c r="F333" s="57">
        <f>IFERROR(__xludf.DUMMYFUNCTION("""COMPUTED_VALUE"""),351.0)</f>
        <v>351</v>
      </c>
      <c r="G333" s="57">
        <f>IFERROR(__xludf.DUMMYFUNCTION("""COMPUTED_VALUE"""),-2.0)</f>
        <v>-2</v>
      </c>
      <c r="H333" s="32">
        <f>IFERROR(__xludf.DUMMYFUNCTION("""COMPUTED_VALUE"""),-0.0056)</f>
        <v>-0.0056</v>
      </c>
      <c r="I333" s="57" t="str">
        <f>IFERROR(__xludf.DUMMYFUNCTION("""COMPUTED_VALUE"""),"390,40K")</f>
        <v>390,40K</v>
      </c>
      <c r="J333" s="59">
        <f>IFERROR(__xludf.DUMMYFUNCTION("""COMPUTED_VALUE"""),44421.0)</f>
        <v>44421</v>
      </c>
      <c r="K333" s="57"/>
    </row>
    <row r="334">
      <c r="B334" s="57"/>
      <c r="C334" s="57" t="str">
        <f>IFERROR(__xludf.DUMMYFUNCTION("""COMPUTED_VALUE"""),"West Japan Railway Co.")</f>
        <v>West Japan Railway Co.</v>
      </c>
      <c r="D334" s="57" t="str">
        <f>IFERROR(__xludf.DUMMYFUNCTION("""COMPUTED_VALUE"""),"5.853,0")</f>
        <v>5.853,0</v>
      </c>
      <c r="E334" s="57" t="str">
        <f>IFERROR(__xludf.DUMMYFUNCTION("""COMPUTED_VALUE"""),"5.913,0")</f>
        <v>5.913,0</v>
      </c>
      <c r="F334" s="57" t="str">
        <f>IFERROR(__xludf.DUMMYFUNCTION("""COMPUTED_VALUE"""),"5.795,0")</f>
        <v>5.795,0</v>
      </c>
      <c r="G334" s="57">
        <f>IFERROR(__xludf.DUMMYFUNCTION("""COMPUTED_VALUE"""),-20.0)</f>
        <v>-20</v>
      </c>
      <c r="H334" s="32">
        <f>IFERROR(__xludf.DUMMYFUNCTION("""COMPUTED_VALUE"""),-0.0034)</f>
        <v>-0.0034</v>
      </c>
      <c r="I334" s="57" t="str">
        <f>IFERROR(__xludf.DUMMYFUNCTION("""COMPUTED_VALUE"""),"1,54M")</f>
        <v>1,54M</v>
      </c>
      <c r="J334" s="59">
        <f>IFERROR(__xludf.DUMMYFUNCTION("""COMPUTED_VALUE"""),44421.0)</f>
        <v>44421</v>
      </c>
      <c r="K334" s="57"/>
    </row>
    <row r="335">
      <c r="B335" s="57"/>
      <c r="C335" s="57" t="str">
        <f>IFERROR(__xludf.DUMMYFUNCTION("""COMPUTED_VALUE"""),"Yamaha Corp.")</f>
        <v>Yamaha Corp.</v>
      </c>
      <c r="D335" s="57" t="str">
        <f>IFERROR(__xludf.DUMMYFUNCTION("""COMPUTED_VALUE"""),"6.350,0")</f>
        <v>6.350,0</v>
      </c>
      <c r="E335" s="57" t="str">
        <f>IFERROR(__xludf.DUMMYFUNCTION("""COMPUTED_VALUE"""),"6.450,0")</f>
        <v>6.450,0</v>
      </c>
      <c r="F335" s="57" t="str">
        <f>IFERROR(__xludf.DUMMYFUNCTION("""COMPUTED_VALUE"""),"6.340,0")</f>
        <v>6.340,0</v>
      </c>
      <c r="G335" s="57">
        <f>IFERROR(__xludf.DUMMYFUNCTION("""COMPUTED_VALUE"""),-80.0)</f>
        <v>-80</v>
      </c>
      <c r="H335" s="32">
        <f>IFERROR(__xludf.DUMMYFUNCTION("""COMPUTED_VALUE"""),-0.0124)</f>
        <v>-0.0124</v>
      </c>
      <c r="I335" s="57" t="str">
        <f>IFERROR(__xludf.DUMMYFUNCTION("""COMPUTED_VALUE"""),"425,20K")</f>
        <v>425,20K</v>
      </c>
      <c r="J335" s="59">
        <f>IFERROR(__xludf.DUMMYFUNCTION("""COMPUTED_VALUE"""),44421.0)</f>
        <v>44421</v>
      </c>
      <c r="K335" s="57"/>
    </row>
    <row r="336">
      <c r="B336" s="57"/>
      <c r="C336" s="57" t="str">
        <f>IFERROR(__xludf.DUMMYFUNCTION("""COMPUTED_VALUE"""),"Yamaha Motor Co Ltd")</f>
        <v>Yamaha Motor Co Ltd</v>
      </c>
      <c r="D336" s="57" t="str">
        <f>IFERROR(__xludf.DUMMYFUNCTION("""COMPUTED_VALUE"""),"2.865,0")</f>
        <v>2.865,0</v>
      </c>
      <c r="E336" s="57" t="str">
        <f>IFERROR(__xludf.DUMMYFUNCTION("""COMPUTED_VALUE"""),"2.919,0")</f>
        <v>2.919,0</v>
      </c>
      <c r="F336" s="57" t="str">
        <f>IFERROR(__xludf.DUMMYFUNCTION("""COMPUTED_VALUE"""),"2.865,0")</f>
        <v>2.865,0</v>
      </c>
      <c r="G336" s="57">
        <f>IFERROR(__xludf.DUMMYFUNCTION("""COMPUTED_VALUE"""),-82.0)</f>
        <v>-82</v>
      </c>
      <c r="H336" s="32">
        <f>IFERROR(__xludf.DUMMYFUNCTION("""COMPUTED_VALUE"""),-0.0278)</f>
        <v>-0.0278</v>
      </c>
      <c r="I336" s="57" t="str">
        <f>IFERROR(__xludf.DUMMYFUNCTION("""COMPUTED_VALUE"""),"1,88M")</f>
        <v>1,88M</v>
      </c>
      <c r="J336" s="59">
        <f>IFERROR(__xludf.DUMMYFUNCTION("""COMPUTED_VALUE"""),44421.0)</f>
        <v>44421</v>
      </c>
      <c r="K336" s="57"/>
    </row>
    <row r="337">
      <c r="B337" s="57"/>
      <c r="C337" s="57" t="str">
        <f>IFERROR(__xludf.DUMMYFUNCTION("""COMPUTED_VALUE"""),"Yamato Holdings")</f>
        <v>Yamato Holdings</v>
      </c>
      <c r="D337" s="57" t="str">
        <f>IFERROR(__xludf.DUMMYFUNCTION("""COMPUTED_VALUE"""),"2.965,0")</f>
        <v>2.965,0</v>
      </c>
      <c r="E337" s="57" t="str">
        <f>IFERROR(__xludf.DUMMYFUNCTION("""COMPUTED_VALUE"""),"3.000,0")</f>
        <v>3.000,0</v>
      </c>
      <c r="F337" s="57" t="str">
        <f>IFERROR(__xludf.DUMMYFUNCTION("""COMPUTED_VALUE"""),"2.911,0")</f>
        <v>2.911,0</v>
      </c>
      <c r="G337" s="57">
        <f>IFERROR(__xludf.DUMMYFUNCTION("""COMPUTED_VALUE"""),-180.0)</f>
        <v>-180</v>
      </c>
      <c r="H337" s="32">
        <f>IFERROR(__xludf.DUMMYFUNCTION("""COMPUTED_VALUE"""),-0.0572)</f>
        <v>-0.0572</v>
      </c>
      <c r="I337" s="57" t="str">
        <f>IFERROR(__xludf.DUMMYFUNCTION("""COMPUTED_VALUE"""),"3,40M")</f>
        <v>3,40M</v>
      </c>
      <c r="J337" s="59">
        <f>IFERROR(__xludf.DUMMYFUNCTION("""COMPUTED_VALUE"""),44421.0)</f>
        <v>44421</v>
      </c>
      <c r="K337" s="57"/>
    </row>
    <row r="338">
      <c r="B338" s="57"/>
      <c r="C338" s="57" t="str">
        <f>IFERROR(__xludf.DUMMYFUNCTION("""COMPUTED_VALUE"""),"Yaskawa Electric Corp.")</f>
        <v>Yaskawa Electric Corp.</v>
      </c>
      <c r="D338" s="57" t="str">
        <f>IFERROR(__xludf.DUMMYFUNCTION("""COMPUTED_VALUE"""),"5.680,0")</f>
        <v>5.680,0</v>
      </c>
      <c r="E338" s="57" t="str">
        <f>IFERROR(__xludf.DUMMYFUNCTION("""COMPUTED_VALUE"""),"5.790,0")</f>
        <v>5.790,0</v>
      </c>
      <c r="F338" s="57" t="str">
        <f>IFERROR(__xludf.DUMMYFUNCTION("""COMPUTED_VALUE"""),"5.670,0")</f>
        <v>5.670,0</v>
      </c>
      <c r="G338" s="57">
        <f>IFERROR(__xludf.DUMMYFUNCTION("""COMPUTED_VALUE"""),-30.0)</f>
        <v>-30</v>
      </c>
      <c r="H338" s="32">
        <f>IFERROR(__xludf.DUMMYFUNCTION("""COMPUTED_VALUE"""),-0.0053)</f>
        <v>-0.0053</v>
      </c>
      <c r="I338" s="57" t="str">
        <f>IFERROR(__xludf.DUMMYFUNCTION("""COMPUTED_VALUE"""),"1,36M")</f>
        <v>1,36M</v>
      </c>
      <c r="J338" s="59">
        <f>IFERROR(__xludf.DUMMYFUNCTION("""COMPUTED_VALUE"""),44421.0)</f>
        <v>44421</v>
      </c>
      <c r="K338" s="57"/>
    </row>
    <row r="339">
      <c r="B339" s="57"/>
      <c r="C339" s="57" t="str">
        <f>IFERROR(__xludf.DUMMYFUNCTION("""COMPUTED_VALUE"""),"Yokogawa Electric Corp.")</f>
        <v>Yokogawa Electric Corp.</v>
      </c>
      <c r="D339" s="57" t="str">
        <f>IFERROR(__xludf.DUMMYFUNCTION("""COMPUTED_VALUE"""),"1.769,0")</f>
        <v>1.769,0</v>
      </c>
      <c r="E339" s="57" t="str">
        <f>IFERROR(__xludf.DUMMYFUNCTION("""COMPUTED_VALUE"""),"1.775,0")</f>
        <v>1.775,0</v>
      </c>
      <c r="F339" s="57" t="str">
        <f>IFERROR(__xludf.DUMMYFUNCTION("""COMPUTED_VALUE"""),"1.726,0")</f>
        <v>1.726,0</v>
      </c>
      <c r="G339" s="57" t="str">
        <f>IFERROR(__xludf.DUMMYFUNCTION("""COMPUTED_VALUE"""),"+31,0")</f>
        <v>+31,0</v>
      </c>
      <c r="H339" s="57" t="str">
        <f>IFERROR(__xludf.DUMMYFUNCTION("""COMPUTED_VALUE"""),"+1,78%")</f>
        <v>+1,78%</v>
      </c>
      <c r="I339" s="57" t="str">
        <f>IFERROR(__xludf.DUMMYFUNCTION("""COMPUTED_VALUE"""),"917,70K")</f>
        <v>917,70K</v>
      </c>
      <c r="J339" s="59">
        <f>IFERROR(__xludf.DUMMYFUNCTION("""COMPUTED_VALUE"""),44421.0)</f>
        <v>44421</v>
      </c>
      <c r="K339" s="57"/>
    </row>
    <row r="340">
      <c r="B340" s="57"/>
      <c r="C340" s="57" t="str">
        <f>IFERROR(__xludf.DUMMYFUNCTION("""COMPUTED_VALUE"""),"Yokohama Rubber")</f>
        <v>Yokohama Rubber</v>
      </c>
      <c r="D340" s="57" t="str">
        <f>IFERROR(__xludf.DUMMYFUNCTION("""COMPUTED_VALUE"""),"2.053,0")</f>
        <v>2.053,0</v>
      </c>
      <c r="E340" s="57" t="str">
        <f>IFERROR(__xludf.DUMMYFUNCTION("""COMPUTED_VALUE"""),"2.072,0")</f>
        <v>2.072,0</v>
      </c>
      <c r="F340" s="57" t="str">
        <f>IFERROR(__xludf.DUMMYFUNCTION("""COMPUTED_VALUE"""),"2.034,0")</f>
        <v>2.034,0</v>
      </c>
      <c r="G340" s="57">
        <f>IFERROR(__xludf.DUMMYFUNCTION("""COMPUTED_VALUE"""),-23.0)</f>
        <v>-23</v>
      </c>
      <c r="H340" s="32">
        <f>IFERROR(__xludf.DUMMYFUNCTION("""COMPUTED_VALUE"""),-0.0111)</f>
        <v>-0.0111</v>
      </c>
      <c r="I340" s="57" t="str">
        <f>IFERROR(__xludf.DUMMYFUNCTION("""COMPUTED_VALUE"""),"678,20K")</f>
        <v>678,20K</v>
      </c>
      <c r="J340" s="59">
        <f>IFERROR(__xludf.DUMMYFUNCTION("""COMPUTED_VALUE"""),44421.0)</f>
        <v>44421</v>
      </c>
      <c r="K340" s="57"/>
    </row>
    <row r="341">
      <c r="B341" s="57"/>
      <c r="C341" s="57" t="str">
        <f>IFERROR(__xludf.DUMMYFUNCTION("""COMPUTED_VALUE"""),"Z Holdings")</f>
        <v>Z Holdings</v>
      </c>
      <c r="D341" s="57">
        <f>IFERROR(__xludf.DUMMYFUNCTION("""COMPUTED_VALUE"""),626.3)</f>
        <v>626.3</v>
      </c>
      <c r="E341" s="57">
        <f>IFERROR(__xludf.DUMMYFUNCTION("""COMPUTED_VALUE"""),628.2)</f>
        <v>628.2</v>
      </c>
      <c r="F341" s="57">
        <f>IFERROR(__xludf.DUMMYFUNCTION("""COMPUTED_VALUE"""),622.0)</f>
        <v>622</v>
      </c>
      <c r="G341" s="57" t="str">
        <f>IFERROR(__xludf.DUMMYFUNCTION("""COMPUTED_VALUE"""),"+7,2")</f>
        <v>+7,2</v>
      </c>
      <c r="H341" s="57" t="str">
        <f>IFERROR(__xludf.DUMMYFUNCTION("""COMPUTED_VALUE"""),"+1,16%")</f>
        <v>+1,16%</v>
      </c>
      <c r="I341" s="57" t="str">
        <f>IFERROR(__xludf.DUMMYFUNCTION("""COMPUTED_VALUE"""),"9,45M")</f>
        <v>9,45M</v>
      </c>
      <c r="J341" s="59">
        <f>IFERROR(__xludf.DUMMYFUNCTION("""COMPUTED_VALUE"""),44421.0)</f>
        <v>44421</v>
      </c>
      <c r="K341" s="57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7.43"/>
    <col customWidth="1" min="3" max="3" width="23.0"/>
    <col customWidth="1" min="5" max="5" width="20.86"/>
    <col customWidth="1" min="7" max="7" width="16.57"/>
  </cols>
  <sheetData>
    <row r="1" ht="21.0" customHeight="1">
      <c r="A1" s="17" t="s">
        <v>117</v>
      </c>
      <c r="C1" s="17" t="s">
        <v>118</v>
      </c>
      <c r="E1" s="17" t="s">
        <v>5</v>
      </c>
      <c r="G1" s="60" t="s">
        <v>119</v>
      </c>
    </row>
    <row r="2">
      <c r="A2" s="61" t="s">
        <v>70</v>
      </c>
      <c r="C2" s="62" t="s">
        <v>13</v>
      </c>
      <c r="E2" s="62" t="s">
        <v>14</v>
      </c>
      <c r="G2" s="63" t="s">
        <v>69</v>
      </c>
      <c r="H2" s="9" t="s">
        <v>120</v>
      </c>
      <c r="I2" s="9" t="s">
        <v>121</v>
      </c>
      <c r="J2" s="41">
        <v>1.0</v>
      </c>
    </row>
    <row r="3">
      <c r="A3" s="64" t="s">
        <v>86</v>
      </c>
      <c r="C3" s="62" t="s">
        <v>18</v>
      </c>
      <c r="E3" s="62" t="s">
        <v>23</v>
      </c>
      <c r="G3" s="63" t="s">
        <v>75</v>
      </c>
      <c r="H3" s="63" t="s">
        <v>122</v>
      </c>
      <c r="I3" s="65" t="s">
        <v>123</v>
      </c>
      <c r="J3" s="41">
        <f>IFERROR(__xludf.DUMMYFUNCTION("GOOGLEFINANCE(""CURRENCY:""&amp;I3)"),0.8477235)</f>
        <v>0.8477235</v>
      </c>
    </row>
    <row r="4">
      <c r="A4" s="66" t="s">
        <v>83</v>
      </c>
      <c r="C4" s="62" t="s">
        <v>15</v>
      </c>
      <c r="E4" s="62" t="s">
        <v>28</v>
      </c>
      <c r="G4" s="63" t="s">
        <v>73</v>
      </c>
      <c r="H4" s="65" t="s">
        <v>124</v>
      </c>
      <c r="I4" s="9" t="s">
        <v>125</v>
      </c>
      <c r="J4" s="41">
        <f>IFERROR(__xludf.DUMMYFUNCTION("GOOGLEFINANCE(""CURRENCY:""&amp;I4)/100"),0.011738899999999998)</f>
        <v>0.0117389</v>
      </c>
    </row>
    <row r="5">
      <c r="A5" s="61" t="s">
        <v>68</v>
      </c>
      <c r="E5" s="62" t="s">
        <v>33</v>
      </c>
      <c r="G5" s="63" t="s">
        <v>79</v>
      </c>
      <c r="H5" s="63" t="s">
        <v>126</v>
      </c>
      <c r="I5" s="9" t="s">
        <v>127</v>
      </c>
      <c r="J5" s="41">
        <f>IFERROR(__xludf.DUMMYFUNCTION("GOOGLEFINANCE(""CURRENCY:""&amp;I5)"),0.924138144)</f>
        <v>0.924138144</v>
      </c>
    </row>
    <row r="6">
      <c r="A6" s="61" t="s">
        <v>81</v>
      </c>
      <c r="E6" s="62" t="s">
        <v>128</v>
      </c>
      <c r="G6" s="63" t="s">
        <v>87</v>
      </c>
      <c r="H6" s="63" t="s">
        <v>129</v>
      </c>
      <c r="I6" s="9" t="s">
        <v>130</v>
      </c>
      <c r="J6" s="41">
        <f>IFERROR(__xludf.DUMMYFUNCTION("GOOGLEFINANCE(""CURRENCY:""&amp;I6)"),0.007731178000000001)</f>
        <v>0.007731178</v>
      </c>
    </row>
    <row r="7">
      <c r="A7" s="61" t="s">
        <v>106</v>
      </c>
      <c r="E7" s="62" t="s">
        <v>40</v>
      </c>
      <c r="G7" s="63" t="s">
        <v>131</v>
      </c>
      <c r="H7" s="63" t="s">
        <v>132</v>
      </c>
      <c r="I7" s="9" t="s">
        <v>133</v>
      </c>
      <c r="J7" s="41">
        <f>IFERROR(__xludf.DUMMYFUNCTION("GOOGLEFINANCE(""CURRENCY:""&amp;I7)"),0.1308740123)</f>
        <v>0.1308740123</v>
      </c>
    </row>
    <row r="8">
      <c r="A8" s="61" t="s">
        <v>88</v>
      </c>
      <c r="G8" s="63" t="s">
        <v>134</v>
      </c>
      <c r="H8" s="63" t="s">
        <v>135</v>
      </c>
      <c r="I8" s="9" t="s">
        <v>136</v>
      </c>
      <c r="J8" s="41">
        <f>IFERROR(__xludf.DUMMYFUNCTION("GOOGLEFINANCE(""CURRENCY:""&amp;I8)"),0.6772929289)</f>
        <v>0.6772929289</v>
      </c>
    </row>
    <row r="9">
      <c r="A9" s="61" t="s">
        <v>107</v>
      </c>
      <c r="G9" s="63" t="s">
        <v>137</v>
      </c>
      <c r="H9" s="63" t="s">
        <v>138</v>
      </c>
      <c r="I9" s="9" t="s">
        <v>139</v>
      </c>
      <c r="J9" s="41">
        <f>IFERROR(__xludf.DUMMYFUNCTION("GOOGLEFINANCE(""CURRENCY:""&amp;I9)"),0.6247294433)</f>
        <v>0.6247294433</v>
      </c>
    </row>
    <row r="10">
      <c r="A10" s="61" t="s">
        <v>108</v>
      </c>
      <c r="G10" s="63" t="s">
        <v>140</v>
      </c>
      <c r="H10" s="63" t="s">
        <v>141</v>
      </c>
      <c r="I10" s="9" t="s">
        <v>142</v>
      </c>
      <c r="J10" s="41">
        <f>IFERROR(__xludf.DUMMYFUNCTION("GOOGLEFINANCE(""CURRENCY:""&amp;I10)"),0.01158061)</f>
        <v>0.01158061</v>
      </c>
    </row>
    <row r="11">
      <c r="A11" s="61" t="s">
        <v>109</v>
      </c>
      <c r="G11" s="62" t="s">
        <v>143</v>
      </c>
      <c r="H11" s="62" t="s">
        <v>144</v>
      </c>
      <c r="I11" s="62" t="s">
        <v>145</v>
      </c>
      <c r="J11" s="41">
        <f>IFERROR(__xludf.DUMMYFUNCTION("GOOGLEFINANCE(""CURRENCY:""&amp;I11)"),0.1089259422)</f>
        <v>0.1089259422</v>
      </c>
    </row>
    <row r="12">
      <c r="A12" s="61" t="s">
        <v>72</v>
      </c>
    </row>
    <row r="13">
      <c r="A13" s="61" t="s">
        <v>110</v>
      </c>
    </row>
    <row r="14">
      <c r="A14" s="61" t="s">
        <v>111</v>
      </c>
    </row>
    <row r="15">
      <c r="A15" s="61" t="s">
        <v>112</v>
      </c>
    </row>
    <row r="16">
      <c r="A16" s="61" t="s">
        <v>77</v>
      </c>
    </row>
  </sheetData>
  <mergeCells count="1">
    <mergeCell ref="G1:J1"/>
  </mergeCells>
  <drawing r:id="rId1"/>
</worksheet>
</file>